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shwat Kakkar\Documents\Obsidian Capital Research\"/>
    </mc:Choice>
  </mc:AlternateContent>
  <xr:revisionPtr revIDLastSave="0" documentId="8_{8BC0A158-FC7F-4146-A428-294E4BA915DF}" xr6:coauthVersionLast="47" xr6:coauthVersionMax="47" xr10:uidLastSave="{00000000-0000-0000-0000-000000000000}"/>
  <bookViews>
    <workbookView xWindow="-120" yWindow="-120" windowWidth="29040" windowHeight="15720" tabRatio="811" xr2:uid="{3C81DFA3-4F47-470C-B085-B90AC255D927}"/>
  </bookViews>
  <sheets>
    <sheet name="Overview" sheetId="11" r:id="rId1"/>
    <sheet name="Data &amp; Assumptions" sheetId="1" r:id="rId2"/>
    <sheet name="Revenue Schedule" sheetId="5" r:id="rId3"/>
    <sheet name="Asset Schedule" sheetId="2" r:id="rId4"/>
    <sheet name="Debt Schedule" sheetId="3" r:id="rId5"/>
    <sheet name="Equity Schedule" sheetId="4" r:id="rId6"/>
    <sheet name="P&amp;L" sheetId="6" r:id="rId7"/>
    <sheet name="BS" sheetId="8" r:id="rId8"/>
    <sheet name="CF" sheetId="9" r:id="rId9"/>
    <sheet name="NOI &amp; NDCF" sheetId="7" r:id="rId10"/>
    <sheet name="Valuation" sheetId="10" r:id="rId11"/>
  </sheets>
  <definedNames>
    <definedName name="gross_int_exp">'Debt Schedule'!$J$11:$N$11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8" i="8" l="1"/>
  <c r="D61" i="10"/>
  <c r="K39" i="7"/>
  <c r="L39" i="7" s="1"/>
  <c r="M39" i="7" s="1"/>
  <c r="N39" i="7" s="1"/>
  <c r="D8" i="10"/>
  <c r="N28" i="10" l="1"/>
  <c r="M28" i="10"/>
  <c r="L28" i="10"/>
  <c r="K28" i="10"/>
  <c r="J28" i="10"/>
  <c r="I15" i="10"/>
  <c r="D12" i="10"/>
  <c r="D20" i="11" s="1"/>
  <c r="D10" i="10"/>
  <c r="D38" i="10" s="1"/>
  <c r="F36" i="10" s="1"/>
  <c r="J34" i="9"/>
  <c r="E39" i="7"/>
  <c r="F39" i="7"/>
  <c r="G39" i="7"/>
  <c r="H39" i="7"/>
  <c r="I39" i="7"/>
  <c r="H140" i="1"/>
  <c r="F179" i="1"/>
  <c r="G179" i="1"/>
  <c r="H179" i="1"/>
  <c r="I179" i="1"/>
  <c r="L10" i="3"/>
  <c r="M10" i="3"/>
  <c r="N10" i="3"/>
  <c r="J16" i="1"/>
  <c r="K16" i="1"/>
  <c r="L16" i="1"/>
  <c r="M16" i="1"/>
  <c r="N16" i="1"/>
  <c r="N38" i="9"/>
  <c r="M38" i="9"/>
  <c r="L38" i="9"/>
  <c r="K38" i="9"/>
  <c r="J38" i="9"/>
  <c r="K43" i="9"/>
  <c r="L43" i="9" s="1"/>
  <c r="M43" i="9" s="1"/>
  <c r="N43" i="9" s="1"/>
  <c r="K42" i="9"/>
  <c r="L42" i="9" s="1"/>
  <c r="M42" i="9" s="1"/>
  <c r="N42" i="9" s="1"/>
  <c r="K41" i="9"/>
  <c r="L41" i="9" s="1"/>
  <c r="M41" i="9" s="1"/>
  <c r="N41" i="9" s="1"/>
  <c r="K40" i="9"/>
  <c r="L40" i="9" s="1"/>
  <c r="N36" i="9"/>
  <c r="M36" i="9"/>
  <c r="L36" i="9"/>
  <c r="K36" i="9"/>
  <c r="J36" i="9"/>
  <c r="I12" i="2"/>
  <c r="E97" i="1"/>
  <c r="F97" i="1"/>
  <c r="G97" i="1"/>
  <c r="H97" i="1"/>
  <c r="I97" i="1"/>
  <c r="G36" i="10" l="1"/>
  <c r="E36" i="10"/>
  <c r="M16" i="10"/>
  <c r="N16" i="10"/>
  <c r="L16" i="10"/>
  <c r="J16" i="10"/>
  <c r="K16" i="10"/>
  <c r="M40" i="9"/>
  <c r="E65" i="1"/>
  <c r="F65" i="1"/>
  <c r="G65" i="1"/>
  <c r="H65" i="1"/>
  <c r="I65" i="1"/>
  <c r="N23" i="7"/>
  <c r="M23" i="7"/>
  <c r="L23" i="7"/>
  <c r="K23" i="7"/>
  <c r="J23" i="7"/>
  <c r="E227" i="1"/>
  <c r="F227" i="1"/>
  <c r="G227" i="1"/>
  <c r="H227" i="1"/>
  <c r="I227" i="1"/>
  <c r="E225" i="1"/>
  <c r="E226" i="1" s="1"/>
  <c r="F225" i="1"/>
  <c r="F226" i="1" s="1"/>
  <c r="G225" i="1"/>
  <c r="G226" i="1" s="1"/>
  <c r="H225" i="1"/>
  <c r="H226" i="1" s="1"/>
  <c r="I225" i="1"/>
  <c r="I226" i="1" s="1"/>
  <c r="E223" i="1"/>
  <c r="F223" i="1"/>
  <c r="G223" i="1"/>
  <c r="H223" i="1"/>
  <c r="I223" i="1"/>
  <c r="E222" i="1"/>
  <c r="F222" i="1"/>
  <c r="G222" i="1"/>
  <c r="H222" i="1"/>
  <c r="I222" i="1"/>
  <c r="E221" i="1"/>
  <c r="F221" i="1"/>
  <c r="G221" i="1"/>
  <c r="H221" i="1"/>
  <c r="I221" i="1"/>
  <c r="E219" i="1"/>
  <c r="F219" i="1"/>
  <c r="G219" i="1"/>
  <c r="H219" i="1"/>
  <c r="I219" i="1"/>
  <c r="E218" i="1"/>
  <c r="F218" i="1"/>
  <c r="G218" i="1"/>
  <c r="H218" i="1"/>
  <c r="I218" i="1"/>
  <c r="E216" i="1"/>
  <c r="E217" i="1" s="1"/>
  <c r="F216" i="1"/>
  <c r="G216" i="1"/>
  <c r="H216" i="1"/>
  <c r="I216" i="1"/>
  <c r="E215" i="1"/>
  <c r="F215" i="1"/>
  <c r="G215" i="1"/>
  <c r="H215" i="1"/>
  <c r="I215" i="1"/>
  <c r="J215" i="1" s="1"/>
  <c r="E214" i="1"/>
  <c r="F214" i="1"/>
  <c r="G214" i="1"/>
  <c r="H214" i="1"/>
  <c r="I214" i="1"/>
  <c r="E212" i="1"/>
  <c r="F212" i="1"/>
  <c r="G212" i="1"/>
  <c r="H212" i="1"/>
  <c r="I212" i="1"/>
  <c r="E210" i="1"/>
  <c r="E211" i="1" s="1"/>
  <c r="F210" i="1"/>
  <c r="F211" i="1" s="1"/>
  <c r="G210" i="1"/>
  <c r="G211" i="1" s="1"/>
  <c r="H210" i="1"/>
  <c r="H211" i="1" s="1"/>
  <c r="I210" i="1"/>
  <c r="I211" i="1" s="1"/>
  <c r="J211" i="1" s="1"/>
  <c r="K211" i="1" s="1"/>
  <c r="L211" i="1" s="1"/>
  <c r="M211" i="1" s="1"/>
  <c r="N211" i="1" s="1"/>
  <c r="E209" i="1"/>
  <c r="F209" i="1"/>
  <c r="G209" i="1"/>
  <c r="H209" i="1"/>
  <c r="I209" i="1"/>
  <c r="F207" i="1"/>
  <c r="F208" i="1" s="1"/>
  <c r="G207" i="1"/>
  <c r="G208" i="1" s="1"/>
  <c r="H207" i="1"/>
  <c r="H208" i="1" s="1"/>
  <c r="I207" i="1"/>
  <c r="I208" i="1" s="1"/>
  <c r="E207" i="1"/>
  <c r="E208" i="1" s="1"/>
  <c r="E206" i="1"/>
  <c r="F206" i="1"/>
  <c r="G206" i="1"/>
  <c r="H206" i="1"/>
  <c r="I206" i="1"/>
  <c r="E204" i="1"/>
  <c r="E205" i="1" s="1"/>
  <c r="F204" i="1"/>
  <c r="F205" i="1" s="1"/>
  <c r="G204" i="1"/>
  <c r="G205" i="1" s="1"/>
  <c r="H204" i="1"/>
  <c r="H205" i="1" s="1"/>
  <c r="I204" i="1"/>
  <c r="I205" i="1" s="1"/>
  <c r="J205" i="1" s="1"/>
  <c r="K205" i="1" s="1"/>
  <c r="L205" i="1" s="1"/>
  <c r="M205" i="1" s="1"/>
  <c r="N205" i="1" s="1"/>
  <c r="E202" i="1"/>
  <c r="E203" i="1" s="1"/>
  <c r="F202" i="1"/>
  <c r="F203" i="1" s="1"/>
  <c r="G202" i="1"/>
  <c r="G203" i="1" s="1"/>
  <c r="H202" i="1"/>
  <c r="H203" i="1" s="1"/>
  <c r="I202" i="1"/>
  <c r="I203" i="1" s="1"/>
  <c r="E200" i="1"/>
  <c r="E201" i="1" s="1"/>
  <c r="F200" i="1"/>
  <c r="F201" i="1" s="1"/>
  <c r="G200" i="1"/>
  <c r="G201" i="1" s="1"/>
  <c r="H200" i="1"/>
  <c r="H201" i="1" s="1"/>
  <c r="I200" i="1"/>
  <c r="I201" i="1" s="1"/>
  <c r="J201" i="1" s="1"/>
  <c r="K201" i="1" s="1"/>
  <c r="L201" i="1" s="1"/>
  <c r="M201" i="1" s="1"/>
  <c r="N201" i="1" s="1"/>
  <c r="I29" i="7"/>
  <c r="I28" i="7"/>
  <c r="I27" i="7"/>
  <c r="I22" i="7"/>
  <c r="I20" i="7"/>
  <c r="I15" i="7"/>
  <c r="I14" i="7"/>
  <c r="I13" i="7"/>
  <c r="I11" i="7"/>
  <c r="I9" i="7"/>
  <c r="H29" i="7"/>
  <c r="H28" i="7"/>
  <c r="H27" i="7"/>
  <c r="H23" i="7"/>
  <c r="H22" i="7"/>
  <c r="H21" i="7"/>
  <c r="H20" i="7"/>
  <c r="H15" i="7"/>
  <c r="H14" i="7"/>
  <c r="H13" i="7"/>
  <c r="H11" i="7"/>
  <c r="H9" i="7"/>
  <c r="G29" i="7"/>
  <c r="G28" i="7"/>
  <c r="G27" i="7"/>
  <c r="G23" i="7"/>
  <c r="G22" i="7"/>
  <c r="G21" i="7"/>
  <c r="G20" i="7"/>
  <c r="G15" i="7"/>
  <c r="G14" i="7"/>
  <c r="G13" i="7"/>
  <c r="G11" i="7"/>
  <c r="G9" i="7"/>
  <c r="E33" i="7"/>
  <c r="F33" i="7"/>
  <c r="G33" i="7"/>
  <c r="H33" i="7"/>
  <c r="I33" i="7"/>
  <c r="F29" i="7"/>
  <c r="F28" i="7"/>
  <c r="F27" i="7"/>
  <c r="F23" i="7"/>
  <c r="F22" i="7"/>
  <c r="F21" i="7"/>
  <c r="F20" i="7"/>
  <c r="F15" i="7"/>
  <c r="F14" i="7"/>
  <c r="F13" i="7"/>
  <c r="F11" i="7"/>
  <c r="F9" i="7"/>
  <c r="F31" i="7"/>
  <c r="G31" i="7"/>
  <c r="H31" i="7"/>
  <c r="I31" i="7"/>
  <c r="E31" i="7"/>
  <c r="E29" i="7"/>
  <c r="E28" i="7"/>
  <c r="E27" i="7"/>
  <c r="E23" i="7"/>
  <c r="E22" i="7"/>
  <c r="E21" i="7"/>
  <c r="E20" i="7"/>
  <c r="E15" i="7"/>
  <c r="E14" i="7"/>
  <c r="E13" i="7"/>
  <c r="E11" i="7"/>
  <c r="E9" i="7"/>
  <c r="E10" i="7"/>
  <c r="F10" i="7"/>
  <c r="G10" i="7"/>
  <c r="H10" i="7"/>
  <c r="I10" i="7"/>
  <c r="E7" i="7"/>
  <c r="F7" i="7"/>
  <c r="G7" i="7"/>
  <c r="H7" i="7"/>
  <c r="I7" i="7"/>
  <c r="E6" i="7"/>
  <c r="F6" i="7"/>
  <c r="G6" i="7"/>
  <c r="H6" i="7"/>
  <c r="I6" i="7"/>
  <c r="E5" i="7"/>
  <c r="F5" i="7"/>
  <c r="G5" i="7"/>
  <c r="H5" i="7"/>
  <c r="I5" i="7"/>
  <c r="E4" i="7"/>
  <c r="E8" i="7" s="1"/>
  <c r="E12" i="7" s="1"/>
  <c r="E18" i="7" s="1"/>
  <c r="E24" i="7" s="1"/>
  <c r="F4" i="7"/>
  <c r="F8" i="7" s="1"/>
  <c r="G4" i="7"/>
  <c r="G8" i="7" s="1"/>
  <c r="H4" i="7"/>
  <c r="H8" i="7" s="1"/>
  <c r="I4" i="7"/>
  <c r="I8" i="7" s="1"/>
  <c r="E197" i="1"/>
  <c r="F197" i="1"/>
  <c r="G197" i="1"/>
  <c r="H197" i="1"/>
  <c r="I197" i="1"/>
  <c r="J37" i="3"/>
  <c r="K37" i="3"/>
  <c r="L37" i="3"/>
  <c r="M37" i="3"/>
  <c r="N37" i="3"/>
  <c r="K60" i="9"/>
  <c r="L60" i="9"/>
  <c r="M60" i="9"/>
  <c r="N60" i="9"/>
  <c r="J6" i="3"/>
  <c r="K6" i="3"/>
  <c r="L6" i="3"/>
  <c r="M6" i="3"/>
  <c r="N6" i="3"/>
  <c r="J50" i="9"/>
  <c r="K50" i="9"/>
  <c r="L50" i="9"/>
  <c r="M50" i="9"/>
  <c r="N50" i="9"/>
  <c r="K40" i="3"/>
  <c r="L40" i="3"/>
  <c r="M40" i="3"/>
  <c r="N40" i="3" s="1"/>
  <c r="J46" i="3"/>
  <c r="K46" i="3"/>
  <c r="L46" i="3"/>
  <c r="M46" i="3"/>
  <c r="N46" i="3"/>
  <c r="K45" i="3"/>
  <c r="L45" i="3" s="1"/>
  <c r="M45" i="3" s="1"/>
  <c r="N45" i="3" s="1"/>
  <c r="J44" i="3"/>
  <c r="K44" i="3" s="1"/>
  <c r="L44" i="3" s="1"/>
  <c r="M44" i="3" s="1"/>
  <c r="N44" i="3" s="1"/>
  <c r="J43" i="3"/>
  <c r="K43" i="3" s="1"/>
  <c r="L43" i="3" s="1"/>
  <c r="M43" i="3" s="1"/>
  <c r="N43" i="3" s="1"/>
  <c r="E49" i="3"/>
  <c r="F49" i="3"/>
  <c r="G49" i="3"/>
  <c r="H49" i="3"/>
  <c r="I49" i="3"/>
  <c r="E48" i="3"/>
  <c r="F48" i="3"/>
  <c r="G48" i="3"/>
  <c r="H48" i="3"/>
  <c r="I48" i="3"/>
  <c r="F34" i="3"/>
  <c r="F47" i="3" s="1"/>
  <c r="G34" i="3" s="1"/>
  <c r="E39" i="3"/>
  <c r="H46" i="3"/>
  <c r="I45" i="3"/>
  <c r="H39" i="3"/>
  <c r="F39" i="3"/>
  <c r="G39" i="3"/>
  <c r="I39" i="3"/>
  <c r="E38" i="3"/>
  <c r="F38" i="3"/>
  <c r="G38" i="3"/>
  <c r="H38" i="3"/>
  <c r="I38" i="3"/>
  <c r="E37" i="3"/>
  <c r="F37" i="3"/>
  <c r="G37" i="3"/>
  <c r="H37" i="3"/>
  <c r="I37" i="3"/>
  <c r="E36" i="3"/>
  <c r="F36" i="3"/>
  <c r="G36" i="3"/>
  <c r="H36" i="3"/>
  <c r="I36" i="3"/>
  <c r="J226" i="1" l="1"/>
  <c r="J206" i="1"/>
  <c r="K206" i="1" s="1"/>
  <c r="L206" i="1" s="1"/>
  <c r="H224" i="1"/>
  <c r="E220" i="1"/>
  <c r="I12" i="7"/>
  <c r="I18" i="7" s="1"/>
  <c r="I24" i="7" s="1"/>
  <c r="I220" i="1" s="1"/>
  <c r="J220" i="1" s="1"/>
  <c r="K220" i="1" s="1"/>
  <c r="L220" i="1" s="1"/>
  <c r="M220" i="1" s="1"/>
  <c r="N220" i="1" s="1"/>
  <c r="H12" i="7"/>
  <c r="H18" i="7" s="1"/>
  <c r="H24" i="7" s="1"/>
  <c r="H220" i="1" s="1"/>
  <c r="G12" i="7"/>
  <c r="G18" i="7" s="1"/>
  <c r="G24" i="7" s="1"/>
  <c r="G220" i="1" s="1"/>
  <c r="E50" i="3"/>
  <c r="N40" i="9"/>
  <c r="I224" i="1"/>
  <c r="J224" i="1" s="1"/>
  <c r="K224" i="1" s="1"/>
  <c r="L224" i="1" s="1"/>
  <c r="M224" i="1" s="1"/>
  <c r="N224" i="1" s="1"/>
  <c r="G224" i="1"/>
  <c r="J65" i="1"/>
  <c r="K65" i="1" s="1"/>
  <c r="L65" i="1" s="1"/>
  <c r="M65" i="1" s="1"/>
  <c r="N65" i="1" s="1"/>
  <c r="F224" i="1"/>
  <c r="E224" i="1"/>
  <c r="K215" i="1"/>
  <c r="J21" i="7"/>
  <c r="J203" i="1"/>
  <c r="K203" i="1" s="1"/>
  <c r="J208" i="1"/>
  <c r="K208" i="1" s="1"/>
  <c r="L208" i="1" s="1"/>
  <c r="F12" i="7"/>
  <c r="F18" i="7" s="1"/>
  <c r="F24" i="7" s="1"/>
  <c r="F220" i="1" s="1"/>
  <c r="G47" i="3"/>
  <c r="H34" i="3" s="1"/>
  <c r="F50" i="3"/>
  <c r="E171" i="1"/>
  <c r="F171" i="1"/>
  <c r="G171" i="1"/>
  <c r="H171" i="1"/>
  <c r="I171" i="1"/>
  <c r="E194" i="1"/>
  <c r="F194" i="1"/>
  <c r="G194" i="1"/>
  <c r="H194" i="1"/>
  <c r="I194" i="1"/>
  <c r="E172" i="1" l="1"/>
  <c r="F172" i="1"/>
  <c r="M206" i="1"/>
  <c r="N206" i="1" s="1"/>
  <c r="G172" i="1"/>
  <c r="I172" i="1"/>
  <c r="H172" i="1"/>
  <c r="L203" i="1"/>
  <c r="M203" i="1" s="1"/>
  <c r="N203" i="1" s="1"/>
  <c r="L215" i="1"/>
  <c r="K21" i="7"/>
  <c r="K226" i="1"/>
  <c r="L226" i="1" s="1"/>
  <c r="M226" i="1" s="1"/>
  <c r="M208" i="1"/>
  <c r="N208" i="1" s="1"/>
  <c r="H47" i="3"/>
  <c r="G50" i="3"/>
  <c r="J43" i="9"/>
  <c r="J42" i="9"/>
  <c r="J41" i="9"/>
  <c r="J40" i="9"/>
  <c r="J56" i="9"/>
  <c r="K56" i="9" s="1"/>
  <c r="J52" i="9"/>
  <c r="K52" i="9" s="1"/>
  <c r="L52" i="9" s="1"/>
  <c r="M52" i="9" s="1"/>
  <c r="N52" i="9" s="1"/>
  <c r="J53" i="9"/>
  <c r="K53" i="9" s="1"/>
  <c r="L53" i="9" s="1"/>
  <c r="M53" i="9" s="1"/>
  <c r="N53" i="9" s="1"/>
  <c r="E6" i="4"/>
  <c r="F6" i="4"/>
  <c r="G6" i="4"/>
  <c r="H6" i="4"/>
  <c r="I6" i="4"/>
  <c r="J4" i="4"/>
  <c r="K4" i="4"/>
  <c r="L4" i="4"/>
  <c r="M4" i="4"/>
  <c r="N4" i="4"/>
  <c r="G4" i="4"/>
  <c r="H4" i="4"/>
  <c r="I4" i="4"/>
  <c r="F4" i="4"/>
  <c r="J17" i="9"/>
  <c r="K17" i="9" s="1"/>
  <c r="L17" i="9" s="1"/>
  <c r="M17" i="9" s="1"/>
  <c r="N17" i="9" s="1"/>
  <c r="J11" i="9"/>
  <c r="K11" i="9" s="1"/>
  <c r="L11" i="9" s="1"/>
  <c r="M11" i="9" s="1"/>
  <c r="N11" i="9" s="1"/>
  <c r="J18" i="9"/>
  <c r="E68" i="1"/>
  <c r="E69" i="1" s="1"/>
  <c r="F68" i="1"/>
  <c r="F69" i="1" s="1"/>
  <c r="G68" i="1"/>
  <c r="G69" i="1" s="1"/>
  <c r="H68" i="1"/>
  <c r="H69" i="1" s="1"/>
  <c r="I68" i="1"/>
  <c r="I69" i="1" s="1"/>
  <c r="I55" i="9"/>
  <c r="I54" i="9"/>
  <c r="I50" i="9"/>
  <c r="I49" i="9"/>
  <c r="I39" i="9"/>
  <c r="I37" i="9"/>
  <c r="I35" i="9"/>
  <c r="I33" i="9"/>
  <c r="I29" i="9"/>
  <c r="I195" i="1" s="1"/>
  <c r="I196" i="1" s="1"/>
  <c r="I24" i="9"/>
  <c r="I23" i="9"/>
  <c r="I22" i="9"/>
  <c r="I16" i="9"/>
  <c r="I13" i="9"/>
  <c r="I12" i="9"/>
  <c r="H55" i="9"/>
  <c r="H54" i="9"/>
  <c r="H50" i="9"/>
  <c r="H49" i="9"/>
  <c r="H37" i="9"/>
  <c r="H46" i="9" s="1"/>
  <c r="H29" i="9"/>
  <c r="H195" i="1" s="1"/>
  <c r="H196" i="1" s="1"/>
  <c r="H26" i="9"/>
  <c r="H24" i="9"/>
  <c r="G24" i="9"/>
  <c r="H23" i="9"/>
  <c r="H16" i="9"/>
  <c r="H13" i="9"/>
  <c r="H12" i="9"/>
  <c r="H10" i="9"/>
  <c r="G55" i="9"/>
  <c r="G54" i="9"/>
  <c r="G50" i="9"/>
  <c r="G49" i="9"/>
  <c r="G41" i="9"/>
  <c r="G40" i="9"/>
  <c r="G37" i="9"/>
  <c r="G35" i="9"/>
  <c r="G33" i="9"/>
  <c r="G29" i="9"/>
  <c r="G195" i="1" s="1"/>
  <c r="G196" i="1" s="1"/>
  <c r="G13" i="9"/>
  <c r="G12" i="9"/>
  <c r="F55" i="9"/>
  <c r="F54" i="9"/>
  <c r="F53" i="9"/>
  <c r="F50" i="9"/>
  <c r="F49" i="9"/>
  <c r="F37" i="9"/>
  <c r="F46" i="9" s="1"/>
  <c r="F29" i="9"/>
  <c r="F195" i="1" s="1"/>
  <c r="F196" i="1" s="1"/>
  <c r="F27" i="9"/>
  <c r="F26" i="9"/>
  <c r="F25" i="9"/>
  <c r="F24" i="9"/>
  <c r="F22" i="9"/>
  <c r="E55" i="9"/>
  <c r="E54" i="9"/>
  <c r="E53" i="9"/>
  <c r="E50" i="9"/>
  <c r="E49" i="9"/>
  <c r="E43" i="9"/>
  <c r="E42" i="9"/>
  <c r="E37" i="9"/>
  <c r="E29" i="9"/>
  <c r="E195" i="1" s="1"/>
  <c r="E196" i="1" s="1"/>
  <c r="E26" i="9"/>
  <c r="E23" i="9"/>
  <c r="E22" i="9"/>
  <c r="F21" i="9"/>
  <c r="G21" i="9"/>
  <c r="H21" i="9"/>
  <c r="G15" i="9"/>
  <c r="H15" i="9"/>
  <c r="I15" i="9"/>
  <c r="F15" i="9"/>
  <c r="E15" i="9"/>
  <c r="F13" i="9"/>
  <c r="F12" i="9"/>
  <c r="E13" i="9"/>
  <c r="E12" i="9"/>
  <c r="E18" i="9"/>
  <c r="G18" i="9"/>
  <c r="I18" i="9"/>
  <c r="E14" i="9"/>
  <c r="F14" i="9"/>
  <c r="G14" i="9"/>
  <c r="H14" i="9"/>
  <c r="I14" i="9"/>
  <c r="E7" i="9"/>
  <c r="F7" i="9"/>
  <c r="G7" i="9"/>
  <c r="H7" i="9"/>
  <c r="I7" i="9"/>
  <c r="E6" i="9"/>
  <c r="F6" i="9"/>
  <c r="G6" i="9"/>
  <c r="H6" i="9"/>
  <c r="I6" i="9"/>
  <c r="J12" i="4"/>
  <c r="K12" i="4" s="1"/>
  <c r="L12" i="4" s="1"/>
  <c r="M12" i="4" s="1"/>
  <c r="N12" i="4" s="1"/>
  <c r="J13" i="4"/>
  <c r="K13" i="4"/>
  <c r="L13" i="4"/>
  <c r="M13" i="4" s="1"/>
  <c r="N13" i="4" s="1"/>
  <c r="J10" i="4"/>
  <c r="G12" i="4"/>
  <c r="G11" i="4"/>
  <c r="F11" i="4"/>
  <c r="E11" i="4"/>
  <c r="E10" i="4"/>
  <c r="E8" i="4"/>
  <c r="I11" i="4"/>
  <c r="H12" i="4"/>
  <c r="H11" i="4"/>
  <c r="L39" i="6"/>
  <c r="M39" i="6" s="1"/>
  <c r="N39" i="6" s="1"/>
  <c r="E14" i="4"/>
  <c r="F8" i="4" s="1"/>
  <c r="F10" i="4"/>
  <c r="G10" i="4"/>
  <c r="H10" i="4"/>
  <c r="K168" i="1"/>
  <c r="L168" i="1" s="1"/>
  <c r="M168" i="1" s="1"/>
  <c r="E167" i="1"/>
  <c r="E168" i="1" s="1"/>
  <c r="F167" i="1"/>
  <c r="F168" i="1" s="1"/>
  <c r="G167" i="1"/>
  <c r="G168" i="1" s="1"/>
  <c r="H167" i="1"/>
  <c r="H168" i="1" s="1"/>
  <c r="I167" i="1"/>
  <c r="I168" i="1" s="1"/>
  <c r="E163" i="1"/>
  <c r="F163" i="1"/>
  <c r="G163" i="1"/>
  <c r="H163" i="1"/>
  <c r="I163" i="1"/>
  <c r="E164" i="1"/>
  <c r="E165" i="1" s="1"/>
  <c r="E166" i="1" s="1"/>
  <c r="F164" i="1"/>
  <c r="F165" i="1" s="1"/>
  <c r="F166" i="1" s="1"/>
  <c r="G164" i="1"/>
  <c r="G165" i="1" s="1"/>
  <c r="G166" i="1" s="1"/>
  <c r="H164" i="1"/>
  <c r="H165" i="1" s="1"/>
  <c r="H166" i="1" s="1"/>
  <c r="I164" i="1"/>
  <c r="I165" i="1" s="1"/>
  <c r="J165" i="1" s="1"/>
  <c r="J56" i="8"/>
  <c r="K56" i="8"/>
  <c r="L56" i="8" s="1"/>
  <c r="M56" i="8" s="1"/>
  <c r="N56" i="8" s="1"/>
  <c r="J44" i="8"/>
  <c r="K44" i="8"/>
  <c r="I158" i="1"/>
  <c r="I160" i="1" s="1"/>
  <c r="I161" i="1" s="1"/>
  <c r="J161" i="1" s="1"/>
  <c r="H158" i="1"/>
  <c r="H169" i="1" s="1"/>
  <c r="G158" i="1"/>
  <c r="G169" i="1" s="1"/>
  <c r="F158" i="1"/>
  <c r="F169" i="1" s="1"/>
  <c r="E158" i="1"/>
  <c r="E160" i="1" s="1"/>
  <c r="E161" i="1" s="1"/>
  <c r="E154" i="1"/>
  <c r="E151" i="1" s="1"/>
  <c r="F154" i="1"/>
  <c r="F153" i="1" s="1"/>
  <c r="G154" i="1"/>
  <c r="G151" i="1" s="1"/>
  <c r="H154" i="1"/>
  <c r="H151" i="1" s="1"/>
  <c r="I154" i="1"/>
  <c r="I153" i="1" s="1"/>
  <c r="E30" i="3"/>
  <c r="E31" i="3" s="1"/>
  <c r="F30" i="3"/>
  <c r="G30" i="3"/>
  <c r="H30" i="3"/>
  <c r="I30" i="3"/>
  <c r="E28" i="3"/>
  <c r="E29" i="3" s="1"/>
  <c r="F28" i="3"/>
  <c r="F29" i="3" s="1"/>
  <c r="G28" i="3"/>
  <c r="H28" i="3"/>
  <c r="I28" i="3"/>
  <c r="J25" i="3"/>
  <c r="J39" i="3" s="1"/>
  <c r="J23" i="3"/>
  <c r="K23" i="3" s="1"/>
  <c r="L23" i="3" s="1"/>
  <c r="M23" i="3" s="1"/>
  <c r="N23" i="3" s="1"/>
  <c r="F22" i="3"/>
  <c r="F26" i="3" s="1"/>
  <c r="K19" i="3"/>
  <c r="L19" i="3" s="1"/>
  <c r="M19" i="3" s="1"/>
  <c r="N19" i="3" s="1"/>
  <c r="K17" i="3"/>
  <c r="L17" i="3" s="1"/>
  <c r="M17" i="3" s="1"/>
  <c r="N17" i="3" s="1"/>
  <c r="E18" i="3"/>
  <c r="F18" i="3"/>
  <c r="G18" i="3"/>
  <c r="H18" i="3"/>
  <c r="I18" i="3"/>
  <c r="E16" i="3"/>
  <c r="F16" i="3"/>
  <c r="G16" i="3"/>
  <c r="H16" i="3"/>
  <c r="I16" i="3"/>
  <c r="J45" i="8"/>
  <c r="K45" i="8" s="1"/>
  <c r="L45" i="8" s="1"/>
  <c r="M45" i="8" s="1"/>
  <c r="N45" i="8" s="1"/>
  <c r="F178" i="1"/>
  <c r="G178" i="1"/>
  <c r="H178" i="1"/>
  <c r="I178" i="1"/>
  <c r="J34" i="8"/>
  <c r="K34" i="8" s="1"/>
  <c r="L34" i="8" s="1"/>
  <c r="M34" i="8" s="1"/>
  <c r="N34" i="8" s="1"/>
  <c r="J27" i="8"/>
  <c r="K27" i="8" s="1"/>
  <c r="L27" i="8" s="1"/>
  <c r="M27" i="8" s="1"/>
  <c r="N27" i="8" s="1"/>
  <c r="E148" i="1"/>
  <c r="F148" i="1"/>
  <c r="G148" i="1"/>
  <c r="H148" i="1"/>
  <c r="I148" i="1"/>
  <c r="K39" i="6"/>
  <c r="K10" i="4" s="1"/>
  <c r="K38" i="6"/>
  <c r="L38" i="6"/>
  <c r="L10" i="4" s="1"/>
  <c r="M38" i="6"/>
  <c r="N38" i="6"/>
  <c r="K29" i="6"/>
  <c r="L29" i="6" s="1"/>
  <c r="K147" i="1"/>
  <c r="L147" i="1" s="1"/>
  <c r="M147" i="1" s="1"/>
  <c r="N147" i="1" s="1"/>
  <c r="E146" i="1"/>
  <c r="F146" i="1"/>
  <c r="G146" i="1"/>
  <c r="H146" i="1"/>
  <c r="I146" i="1"/>
  <c r="J146" i="1" s="1"/>
  <c r="K145" i="1"/>
  <c r="L145" i="1" s="1"/>
  <c r="M145" i="1" s="1"/>
  <c r="N145" i="1" s="1"/>
  <c r="E144" i="1"/>
  <c r="F144" i="1"/>
  <c r="G144" i="1"/>
  <c r="H144" i="1"/>
  <c r="I144" i="1"/>
  <c r="J144" i="1" s="1"/>
  <c r="J25" i="8" s="1"/>
  <c r="K143" i="1"/>
  <c r="L143" i="1" s="1"/>
  <c r="M143" i="1" s="1"/>
  <c r="N143" i="1" s="1"/>
  <c r="I141" i="1"/>
  <c r="J141" i="1" s="1"/>
  <c r="K141" i="1" s="1"/>
  <c r="L141" i="1" s="1"/>
  <c r="M141" i="1" s="1"/>
  <c r="N141" i="1" s="1"/>
  <c r="I140" i="1"/>
  <c r="K135" i="1"/>
  <c r="L135" i="1" s="1"/>
  <c r="M135" i="1" s="1"/>
  <c r="N135" i="1" s="1"/>
  <c r="F49" i="2"/>
  <c r="G49" i="2"/>
  <c r="H49" i="2"/>
  <c r="I49" i="2"/>
  <c r="F47" i="2"/>
  <c r="E51" i="2"/>
  <c r="E127" i="1"/>
  <c r="F127" i="1"/>
  <c r="F48" i="2" s="1"/>
  <c r="G127" i="1"/>
  <c r="G48" i="2" s="1"/>
  <c r="H127" i="1"/>
  <c r="H48" i="2" s="1"/>
  <c r="I127" i="1"/>
  <c r="I48" i="2" s="1"/>
  <c r="E124" i="1"/>
  <c r="E125" i="1" s="1"/>
  <c r="F124" i="1"/>
  <c r="G124" i="1"/>
  <c r="H124" i="1"/>
  <c r="I124" i="1"/>
  <c r="E123" i="1"/>
  <c r="F123" i="1"/>
  <c r="G123" i="1"/>
  <c r="H123" i="1"/>
  <c r="I123" i="1"/>
  <c r="E43" i="2"/>
  <c r="F40" i="2" s="1"/>
  <c r="F43" i="2" s="1"/>
  <c r="G40" i="2" s="1"/>
  <c r="G43" i="2" s="1"/>
  <c r="H40" i="2" s="1"/>
  <c r="H43" i="2" s="1"/>
  <c r="I40" i="2" s="1"/>
  <c r="E39" i="2"/>
  <c r="F36" i="2" s="1"/>
  <c r="F39" i="2" s="1"/>
  <c r="E138" i="1"/>
  <c r="F138" i="1"/>
  <c r="G138" i="1"/>
  <c r="H138" i="1"/>
  <c r="I138" i="1"/>
  <c r="J138" i="1" s="1"/>
  <c r="E137" i="1"/>
  <c r="F137" i="1"/>
  <c r="G137" i="1"/>
  <c r="H137" i="1"/>
  <c r="I137" i="1"/>
  <c r="J137" i="1" s="1"/>
  <c r="K137" i="1" s="1"/>
  <c r="L137" i="1" s="1"/>
  <c r="E136" i="1"/>
  <c r="F136" i="1"/>
  <c r="G136" i="1"/>
  <c r="H136" i="1"/>
  <c r="I136" i="1"/>
  <c r="J136" i="1" s="1"/>
  <c r="E134" i="1"/>
  <c r="F134" i="1"/>
  <c r="G134" i="1"/>
  <c r="H134" i="1"/>
  <c r="I134" i="1"/>
  <c r="J134" i="1" s="1"/>
  <c r="J14" i="8" s="1"/>
  <c r="E132" i="1"/>
  <c r="F132" i="1"/>
  <c r="G132" i="1"/>
  <c r="H132" i="1"/>
  <c r="I132" i="1"/>
  <c r="J132" i="1" s="1"/>
  <c r="J13" i="8" s="1"/>
  <c r="E126" i="1"/>
  <c r="F126" i="1"/>
  <c r="G126" i="1"/>
  <c r="H126" i="1"/>
  <c r="I126" i="1"/>
  <c r="E122" i="1"/>
  <c r="F122" i="1"/>
  <c r="G122" i="1"/>
  <c r="H122" i="1"/>
  <c r="I122" i="1"/>
  <c r="J9" i="8"/>
  <c r="K9" i="8" s="1"/>
  <c r="L9" i="8" s="1"/>
  <c r="M9" i="8" s="1"/>
  <c r="N9" i="8" s="1"/>
  <c r="E187" i="1"/>
  <c r="F187" i="1"/>
  <c r="G187" i="1"/>
  <c r="H187" i="1"/>
  <c r="I187" i="1"/>
  <c r="E121" i="1"/>
  <c r="F121" i="1"/>
  <c r="G121" i="1"/>
  <c r="H121" i="1"/>
  <c r="I121" i="1"/>
  <c r="J6" i="2"/>
  <c r="K6" i="2" s="1"/>
  <c r="L6" i="2" s="1"/>
  <c r="M6" i="2" s="1"/>
  <c r="N6" i="2" s="1"/>
  <c r="J10" i="2"/>
  <c r="K10" i="2" s="1"/>
  <c r="L10" i="2" s="1"/>
  <c r="M10" i="2" s="1"/>
  <c r="N10" i="2" s="1"/>
  <c r="J19" i="2"/>
  <c r="K19" i="2" s="1"/>
  <c r="L19" i="2" s="1"/>
  <c r="M19" i="2" s="1"/>
  <c r="N19" i="2" s="1"/>
  <c r="J23" i="2"/>
  <c r="K23" i="2" s="1"/>
  <c r="L23" i="2" s="1"/>
  <c r="M23" i="2" s="1"/>
  <c r="N23" i="2" s="1"/>
  <c r="I105" i="1"/>
  <c r="I106" i="1" s="1"/>
  <c r="H105" i="1"/>
  <c r="H106" i="1" s="1"/>
  <c r="G105" i="1"/>
  <c r="G106" i="1" s="1"/>
  <c r="E106" i="1"/>
  <c r="F106" i="1"/>
  <c r="E103" i="1"/>
  <c r="G103" i="1"/>
  <c r="H103" i="1"/>
  <c r="I103" i="1"/>
  <c r="I99" i="1"/>
  <c r="I100" i="1" s="1"/>
  <c r="F99" i="1"/>
  <c r="F100" i="1" s="1"/>
  <c r="E99" i="1"/>
  <c r="E100" i="1" s="1"/>
  <c r="H98" i="1"/>
  <c r="G98" i="1"/>
  <c r="E117" i="1"/>
  <c r="E118" i="1" s="1"/>
  <c r="F117" i="1"/>
  <c r="G117" i="1"/>
  <c r="H117" i="1"/>
  <c r="I117" i="1"/>
  <c r="G119" i="1"/>
  <c r="H119" i="1"/>
  <c r="I119" i="1"/>
  <c r="E116" i="1"/>
  <c r="F116" i="1"/>
  <c r="G116" i="1"/>
  <c r="H116" i="1"/>
  <c r="I116" i="1"/>
  <c r="G29" i="2"/>
  <c r="G33" i="2" s="1"/>
  <c r="H29" i="2" s="1"/>
  <c r="H33" i="2" s="1"/>
  <c r="I29" i="2" s="1"/>
  <c r="I33" i="2" s="1"/>
  <c r="J29" i="2" s="1"/>
  <c r="E25" i="2"/>
  <c r="F21" i="2" s="1"/>
  <c r="F25" i="2" s="1"/>
  <c r="G21" i="2" s="1"/>
  <c r="G25" i="2" s="1"/>
  <c r="H21" i="2" s="1"/>
  <c r="H24" i="2"/>
  <c r="E20" i="2"/>
  <c r="F16" i="2" s="1"/>
  <c r="F20" i="2" s="1"/>
  <c r="G16" i="2" s="1"/>
  <c r="G20" i="2" s="1"/>
  <c r="H16" i="2" s="1"/>
  <c r="H20" i="2" s="1"/>
  <c r="I16" i="2" s="1"/>
  <c r="I20" i="2" s="1"/>
  <c r="J16" i="2" s="1"/>
  <c r="E114" i="1"/>
  <c r="F114" i="1"/>
  <c r="G114" i="1"/>
  <c r="G115" i="1" s="1"/>
  <c r="H114" i="1"/>
  <c r="I114" i="1"/>
  <c r="K113" i="1"/>
  <c r="L113" i="1" s="1"/>
  <c r="M113" i="1" s="1"/>
  <c r="N113" i="1" s="1"/>
  <c r="F112" i="1"/>
  <c r="G112" i="1"/>
  <c r="H112" i="1"/>
  <c r="I112" i="1"/>
  <c r="J112" i="1" s="1"/>
  <c r="E12" i="2"/>
  <c r="F12" i="2"/>
  <c r="G8" i="2" s="1"/>
  <c r="G12" i="2" s="1"/>
  <c r="H11" i="2"/>
  <c r="E5" i="2"/>
  <c r="E112" i="1" s="1"/>
  <c r="F59" i="8"/>
  <c r="G59" i="8"/>
  <c r="H59" i="8"/>
  <c r="I59" i="8"/>
  <c r="E59" i="8"/>
  <c r="E52" i="8"/>
  <c r="F52" i="8"/>
  <c r="G52" i="8"/>
  <c r="H52" i="8"/>
  <c r="I52" i="8"/>
  <c r="F110" i="1"/>
  <c r="G110" i="1"/>
  <c r="H110" i="1"/>
  <c r="I110" i="1"/>
  <c r="F109" i="1"/>
  <c r="G109" i="1"/>
  <c r="H109" i="1"/>
  <c r="I109" i="1"/>
  <c r="N10" i="4" l="1"/>
  <c r="M10" i="4"/>
  <c r="M29" i="6"/>
  <c r="L18" i="9"/>
  <c r="K18" i="9"/>
  <c r="L44" i="8"/>
  <c r="J33" i="9"/>
  <c r="I131" i="1"/>
  <c r="I50" i="2" s="1"/>
  <c r="J172" i="1"/>
  <c r="K172" i="1" s="1"/>
  <c r="L172" i="1" s="1"/>
  <c r="M215" i="1"/>
  <c r="L21" i="7"/>
  <c r="N226" i="1"/>
  <c r="F31" i="3"/>
  <c r="I34" i="3"/>
  <c r="H50" i="3"/>
  <c r="K25" i="3"/>
  <c r="K39" i="3" s="1"/>
  <c r="J55" i="9"/>
  <c r="J196" i="1"/>
  <c r="K196" i="1" s="1"/>
  <c r="I57" i="9"/>
  <c r="J69" i="1"/>
  <c r="K69" i="1" s="1"/>
  <c r="L69" i="1" s="1"/>
  <c r="L56" i="9"/>
  <c r="F160" i="1"/>
  <c r="F157" i="1" s="1"/>
  <c r="J163" i="1"/>
  <c r="K163" i="1" s="1"/>
  <c r="L163" i="1" s="1"/>
  <c r="I169" i="1"/>
  <c r="E169" i="1"/>
  <c r="G160" i="1"/>
  <c r="G157" i="1" s="1"/>
  <c r="I46" i="9"/>
  <c r="H57" i="9"/>
  <c r="G57" i="9"/>
  <c r="E46" i="9"/>
  <c r="E57" i="9"/>
  <c r="G46" i="9"/>
  <c r="F57" i="9"/>
  <c r="I159" i="1"/>
  <c r="N168" i="1"/>
  <c r="H160" i="1"/>
  <c r="H159" i="1" s="1"/>
  <c r="I157" i="1"/>
  <c r="I166" i="1"/>
  <c r="K161" i="1"/>
  <c r="K165" i="1"/>
  <c r="E157" i="1"/>
  <c r="E159" i="1"/>
  <c r="F147" i="1"/>
  <c r="I155" i="1"/>
  <c r="H155" i="1"/>
  <c r="I142" i="1"/>
  <c r="J142" i="1" s="1"/>
  <c r="J140" i="1" s="1"/>
  <c r="E155" i="1"/>
  <c r="G155" i="1"/>
  <c r="F155" i="1"/>
  <c r="E153" i="1"/>
  <c r="I151" i="1"/>
  <c r="J151" i="1" s="1"/>
  <c r="G153" i="1"/>
  <c r="F151" i="1"/>
  <c r="H153" i="1"/>
  <c r="F145" i="1"/>
  <c r="I145" i="1"/>
  <c r="I147" i="1"/>
  <c r="G135" i="1"/>
  <c r="H145" i="1"/>
  <c r="G147" i="1"/>
  <c r="K146" i="1"/>
  <c r="J26" i="8"/>
  <c r="G145" i="1"/>
  <c r="H147" i="1"/>
  <c r="K144" i="1"/>
  <c r="G22" i="3"/>
  <c r="G26" i="3" s="1"/>
  <c r="G29" i="3" s="1"/>
  <c r="F135" i="1"/>
  <c r="H135" i="1"/>
  <c r="K138" i="1"/>
  <c r="L138" i="1" s="1"/>
  <c r="M138" i="1" s="1"/>
  <c r="N138" i="1" s="1"/>
  <c r="N17" i="8" s="1"/>
  <c r="J17" i="8"/>
  <c r="J16" i="8"/>
  <c r="I135" i="1"/>
  <c r="K132" i="1"/>
  <c r="K134" i="1"/>
  <c r="M137" i="1"/>
  <c r="L16" i="8"/>
  <c r="K136" i="1"/>
  <c r="J15" i="8"/>
  <c r="K16" i="8"/>
  <c r="H131" i="1"/>
  <c r="H50" i="2" s="1"/>
  <c r="G131" i="1"/>
  <c r="G50" i="2" s="1"/>
  <c r="F131" i="1"/>
  <c r="F125" i="1"/>
  <c r="J123" i="1"/>
  <c r="J37" i="2" s="1"/>
  <c r="J57" i="2" s="1"/>
  <c r="E26" i="2"/>
  <c r="H25" i="2"/>
  <c r="I21" i="2" s="1"/>
  <c r="I25" i="2" s="1"/>
  <c r="J21" i="2" s="1"/>
  <c r="G188" i="1"/>
  <c r="J188" i="1" s="1"/>
  <c r="K188" i="1" s="1"/>
  <c r="F118" i="1"/>
  <c r="G36" i="2"/>
  <c r="G39" i="2" s="1"/>
  <c r="F44" i="2"/>
  <c r="E44" i="2"/>
  <c r="I188" i="1"/>
  <c r="H188" i="1"/>
  <c r="G118" i="1"/>
  <c r="J106" i="1"/>
  <c r="G99" i="1"/>
  <c r="G100" i="1" s="1"/>
  <c r="H99" i="1"/>
  <c r="H100" i="1" s="1"/>
  <c r="G113" i="1"/>
  <c r="G120" i="1"/>
  <c r="I118" i="1"/>
  <c r="I113" i="1"/>
  <c r="H118" i="1"/>
  <c r="E7" i="2"/>
  <c r="F4" i="2" s="1"/>
  <c r="F7" i="2" s="1"/>
  <c r="G4" i="2" s="1"/>
  <c r="H4" i="2" s="1"/>
  <c r="H7" i="2" s="1"/>
  <c r="I4" i="2" s="1"/>
  <c r="I7" i="2" s="1"/>
  <c r="I120" i="1"/>
  <c r="H120" i="1"/>
  <c r="J5" i="2"/>
  <c r="J54" i="2" s="1"/>
  <c r="K112" i="1"/>
  <c r="H113" i="1"/>
  <c r="F113" i="1"/>
  <c r="F26" i="2"/>
  <c r="G26" i="2"/>
  <c r="J109" i="1"/>
  <c r="K109" i="1" s="1"/>
  <c r="J110" i="1"/>
  <c r="K110" i="1" s="1"/>
  <c r="H8" i="2"/>
  <c r="H12" i="2" s="1"/>
  <c r="I8" i="2" s="1"/>
  <c r="J8" i="2" s="1"/>
  <c r="G13" i="2"/>
  <c r="J4" i="2" l="1"/>
  <c r="I13" i="2"/>
  <c r="L188" i="1"/>
  <c r="M188" i="1" s="1"/>
  <c r="N29" i="6"/>
  <c r="N18" i="9" s="1"/>
  <c r="M18" i="9"/>
  <c r="M44" i="8"/>
  <c r="M172" i="1"/>
  <c r="N172" i="1" s="1"/>
  <c r="N215" i="1"/>
  <c r="N21" i="7" s="1"/>
  <c r="M21" i="7"/>
  <c r="I47" i="3"/>
  <c r="L25" i="3"/>
  <c r="L39" i="3" s="1"/>
  <c r="K55" i="9"/>
  <c r="G31" i="3"/>
  <c r="L196" i="1"/>
  <c r="M196" i="1" s="1"/>
  <c r="F161" i="1"/>
  <c r="F159" i="1"/>
  <c r="J23" i="9"/>
  <c r="M69" i="1"/>
  <c r="N69" i="1" s="1"/>
  <c r="M56" i="9"/>
  <c r="G159" i="1"/>
  <c r="G161" i="1"/>
  <c r="H157" i="1"/>
  <c r="H161" i="1"/>
  <c r="L161" i="1"/>
  <c r="L165" i="1"/>
  <c r="M163" i="1"/>
  <c r="K142" i="1"/>
  <c r="L142" i="1" s="1"/>
  <c r="K151" i="1"/>
  <c r="K153" i="1" s="1"/>
  <c r="J153" i="1"/>
  <c r="J155" i="1"/>
  <c r="L144" i="1"/>
  <c r="K25" i="8"/>
  <c r="L17" i="8"/>
  <c r="L146" i="1"/>
  <c r="K26" i="8"/>
  <c r="H22" i="3"/>
  <c r="K17" i="8"/>
  <c r="M17" i="8"/>
  <c r="K13" i="8"/>
  <c r="L132" i="1"/>
  <c r="L134" i="1"/>
  <c r="K14" i="8"/>
  <c r="L136" i="1"/>
  <c r="K15" i="8"/>
  <c r="M16" i="8"/>
  <c r="N137" i="1"/>
  <c r="N16" i="8" s="1"/>
  <c r="F50" i="2"/>
  <c r="F51" i="2" s="1"/>
  <c r="G47" i="2" s="1"/>
  <c r="G51" i="2" s="1"/>
  <c r="H47" i="2" s="1"/>
  <c r="H51" i="2" s="1"/>
  <c r="I47" i="2" s="1"/>
  <c r="I51" i="2" s="1"/>
  <c r="K123" i="1"/>
  <c r="K37" i="2" s="1"/>
  <c r="K57" i="2" s="1"/>
  <c r="H26" i="2"/>
  <c r="G125" i="1"/>
  <c r="I26" i="2"/>
  <c r="I43" i="2"/>
  <c r="J40" i="2" s="1"/>
  <c r="H36" i="2"/>
  <c r="G44" i="2"/>
  <c r="J12" i="3"/>
  <c r="K106" i="1"/>
  <c r="J121" i="1"/>
  <c r="J6" i="8" s="1"/>
  <c r="J62" i="2" s="1"/>
  <c r="J7" i="2"/>
  <c r="K4" i="2" s="1"/>
  <c r="F115" i="1"/>
  <c r="J100" i="1"/>
  <c r="K100" i="1" s="1"/>
  <c r="J118" i="1"/>
  <c r="K118" i="1" s="1"/>
  <c r="L110" i="1"/>
  <c r="M110" i="1" s="1"/>
  <c r="E13" i="2"/>
  <c r="H115" i="1"/>
  <c r="H13" i="2"/>
  <c r="I115" i="1"/>
  <c r="F13" i="2"/>
  <c r="E115" i="1"/>
  <c r="L112" i="1"/>
  <c r="K5" i="2"/>
  <c r="K54" i="2" s="1"/>
  <c r="L109" i="1"/>
  <c r="M109" i="1" s="1"/>
  <c r="N109" i="1" s="1"/>
  <c r="N188" i="1" l="1"/>
  <c r="K33" i="9"/>
  <c r="N44" i="8"/>
  <c r="J30" i="2"/>
  <c r="J56" i="2" s="1"/>
  <c r="J60" i="2"/>
  <c r="J159" i="1"/>
  <c r="K159" i="1" s="1"/>
  <c r="L159" i="1" s="1"/>
  <c r="K23" i="9"/>
  <c r="J34" i="3"/>
  <c r="I50" i="3"/>
  <c r="M25" i="3"/>
  <c r="M39" i="3" s="1"/>
  <c r="L55" i="9"/>
  <c r="N196" i="1"/>
  <c r="N56" i="9"/>
  <c r="L151" i="1"/>
  <c r="L153" i="1" s="1"/>
  <c r="N163" i="1"/>
  <c r="M165" i="1"/>
  <c r="M161" i="1"/>
  <c r="K140" i="1"/>
  <c r="K155" i="1"/>
  <c r="L155" i="1" s="1"/>
  <c r="L26" i="8"/>
  <c r="M146" i="1"/>
  <c r="M144" i="1"/>
  <c r="L25" i="8"/>
  <c r="L33" i="9" s="1"/>
  <c r="H26" i="3"/>
  <c r="M142" i="1"/>
  <c r="L140" i="1"/>
  <c r="M132" i="1"/>
  <c r="L13" i="8"/>
  <c r="M134" i="1"/>
  <c r="L14" i="8"/>
  <c r="M136" i="1"/>
  <c r="L15" i="8"/>
  <c r="L123" i="1"/>
  <c r="L37" i="2" s="1"/>
  <c r="L57" i="2" s="1"/>
  <c r="J50" i="2"/>
  <c r="H39" i="2"/>
  <c r="H125" i="1"/>
  <c r="J47" i="2"/>
  <c r="K32" i="2"/>
  <c r="I36" i="2"/>
  <c r="H44" i="2"/>
  <c r="J32" i="2"/>
  <c r="L106" i="1"/>
  <c r="K121" i="1"/>
  <c r="K6" i="8" s="1"/>
  <c r="K62" i="2" s="1"/>
  <c r="L100" i="1"/>
  <c r="J115" i="1"/>
  <c r="K115" i="1" s="1"/>
  <c r="L115" i="1" s="1"/>
  <c r="N110" i="1"/>
  <c r="L118" i="1"/>
  <c r="K7" i="2"/>
  <c r="L4" i="2" s="1"/>
  <c r="M112" i="1"/>
  <c r="L5" i="2"/>
  <c r="L54" i="2" s="1"/>
  <c r="M151" i="1" l="1"/>
  <c r="M153" i="1" s="1"/>
  <c r="J116" i="1"/>
  <c r="J17" i="2" s="1"/>
  <c r="J55" i="2" s="1"/>
  <c r="J58" i="2" s="1"/>
  <c r="J59" i="2"/>
  <c r="K116" i="1"/>
  <c r="K17" i="2" s="1"/>
  <c r="K55" i="2" s="1"/>
  <c r="K59" i="2"/>
  <c r="K157" i="1"/>
  <c r="J157" i="1"/>
  <c r="H29" i="3"/>
  <c r="H31" i="3"/>
  <c r="N25" i="3"/>
  <c r="M55" i="9"/>
  <c r="L23" i="9"/>
  <c r="N161" i="1"/>
  <c r="N165" i="1"/>
  <c r="M159" i="1"/>
  <c r="L157" i="1"/>
  <c r="M155" i="1"/>
  <c r="N146" i="1"/>
  <c r="N26" i="8" s="1"/>
  <c r="M26" i="8"/>
  <c r="N144" i="1"/>
  <c r="N25" i="8" s="1"/>
  <c r="M25" i="8"/>
  <c r="N33" i="9" s="1"/>
  <c r="I22" i="3"/>
  <c r="N142" i="1"/>
  <c r="N140" i="1" s="1"/>
  <c r="M140" i="1"/>
  <c r="N132" i="1"/>
  <c r="N13" i="8" s="1"/>
  <c r="M13" i="8"/>
  <c r="M123" i="1"/>
  <c r="M37" i="2" s="1"/>
  <c r="M57" i="2" s="1"/>
  <c r="N134" i="1"/>
  <c r="N14" i="8" s="1"/>
  <c r="M14" i="8"/>
  <c r="N136" i="1"/>
  <c r="N15" i="8" s="1"/>
  <c r="M15" i="8"/>
  <c r="K50" i="2"/>
  <c r="L32" i="2"/>
  <c r="I39" i="2"/>
  <c r="J36" i="2" s="1"/>
  <c r="J39" i="2" s="1"/>
  <c r="I125" i="1"/>
  <c r="M106" i="1"/>
  <c r="L121" i="1"/>
  <c r="L6" i="8" s="1"/>
  <c r="L62" i="2" s="1"/>
  <c r="M100" i="1"/>
  <c r="J9" i="2"/>
  <c r="M115" i="1"/>
  <c r="N115" i="1" s="1"/>
  <c r="K9" i="2"/>
  <c r="M118" i="1"/>
  <c r="L7" i="2"/>
  <c r="M4" i="2" s="1"/>
  <c r="N112" i="1"/>
  <c r="N5" i="2" s="1"/>
  <c r="N54" i="2" s="1"/>
  <c r="M5" i="2"/>
  <c r="M54" i="2" s="1"/>
  <c r="N151" i="1" l="1"/>
  <c r="N153" i="1" s="1"/>
  <c r="M33" i="9"/>
  <c r="J61" i="2"/>
  <c r="J63" i="2" s="1"/>
  <c r="J20" i="2"/>
  <c r="K16" i="2" s="1"/>
  <c r="L116" i="1"/>
  <c r="L17" i="2" s="1"/>
  <c r="L55" i="2" s="1"/>
  <c r="L59" i="2"/>
  <c r="N23" i="9"/>
  <c r="N55" i="9"/>
  <c r="N39" i="3"/>
  <c r="M23" i="9"/>
  <c r="N159" i="1"/>
  <c r="M157" i="1"/>
  <c r="N123" i="1"/>
  <c r="N37" i="2" s="1"/>
  <c r="N57" i="2" s="1"/>
  <c r="N155" i="1"/>
  <c r="I26" i="3"/>
  <c r="L50" i="2"/>
  <c r="I44" i="2"/>
  <c r="J125" i="1"/>
  <c r="J41" i="2" s="1"/>
  <c r="K36" i="2"/>
  <c r="J12" i="2"/>
  <c r="K8" i="2" s="1"/>
  <c r="K12" i="2" s="1"/>
  <c r="L8" i="2" s="1"/>
  <c r="N100" i="1"/>
  <c r="N106" i="1"/>
  <c r="N121" i="1" s="1"/>
  <c r="N6" i="8" s="1"/>
  <c r="M121" i="1"/>
  <c r="M6" i="8" s="1"/>
  <c r="M62" i="2" s="1"/>
  <c r="M7" i="2"/>
  <c r="M9" i="2" s="1"/>
  <c r="N118" i="1"/>
  <c r="L9" i="2"/>
  <c r="J22" i="2" l="1"/>
  <c r="J25" i="2" s="1"/>
  <c r="K21" i="2" s="1"/>
  <c r="J191" i="1"/>
  <c r="J37" i="9"/>
  <c r="N62" i="2"/>
  <c r="I29" i="3"/>
  <c r="J29" i="3" s="1"/>
  <c r="I31" i="3"/>
  <c r="J31" i="3" s="1"/>
  <c r="N157" i="1"/>
  <c r="J43" i="2"/>
  <c r="K40" i="2" s="1"/>
  <c r="J28" i="6"/>
  <c r="J7" i="9" s="1"/>
  <c r="J22" i="3"/>
  <c r="N50" i="2"/>
  <c r="M50" i="2"/>
  <c r="K39" i="2"/>
  <c r="L36" i="2" s="1"/>
  <c r="L39" i="2" s="1"/>
  <c r="K125" i="1"/>
  <c r="L125" i="1" s="1"/>
  <c r="J13" i="2"/>
  <c r="J5" i="8" s="1"/>
  <c r="J27" i="6"/>
  <c r="J6" i="9" s="1"/>
  <c r="J26" i="2"/>
  <c r="J7" i="8" s="1"/>
  <c r="K20" i="2"/>
  <c r="K22" i="2" s="1"/>
  <c r="L12" i="2"/>
  <c r="M8" i="2" s="1"/>
  <c r="M12" i="2" s="1"/>
  <c r="M13" i="2" s="1"/>
  <c r="M5" i="8" s="1"/>
  <c r="K13" i="2"/>
  <c r="K5" i="8" s="1"/>
  <c r="N4" i="2"/>
  <c r="N7" i="2" s="1"/>
  <c r="N9" i="2" s="1"/>
  <c r="K31" i="3" l="1"/>
  <c r="K29" i="3"/>
  <c r="J44" i="2"/>
  <c r="J10" i="8" s="1"/>
  <c r="J24" i="3"/>
  <c r="J26" i="3" s="1"/>
  <c r="J30" i="3" s="1"/>
  <c r="J51" i="8" s="1"/>
  <c r="J48" i="3" s="1"/>
  <c r="M125" i="1"/>
  <c r="N125" i="1" s="1"/>
  <c r="M36" i="2"/>
  <c r="M39" i="2" s="1"/>
  <c r="K25" i="2"/>
  <c r="L21" i="2" s="1"/>
  <c r="K27" i="6"/>
  <c r="K6" i="9" s="1"/>
  <c r="L16" i="2"/>
  <c r="L13" i="2"/>
  <c r="L5" i="8" s="1"/>
  <c r="N8" i="2"/>
  <c r="N12" i="2" s="1"/>
  <c r="N13" i="2" s="1"/>
  <c r="N5" i="8" s="1"/>
  <c r="L29" i="3" l="1"/>
  <c r="J28" i="3"/>
  <c r="J42" i="8" s="1"/>
  <c r="J49" i="3" s="1"/>
  <c r="L31" i="3"/>
  <c r="K41" i="2"/>
  <c r="K28" i="6" s="1"/>
  <c r="K7" i="9" s="1"/>
  <c r="K22" i="3"/>
  <c r="N36" i="2"/>
  <c r="K26" i="2"/>
  <c r="K7" i="8" s="1"/>
  <c r="L20" i="2"/>
  <c r="L22" i="2" s="1"/>
  <c r="F185" i="1"/>
  <c r="G185" i="1"/>
  <c r="H185" i="1"/>
  <c r="I185" i="1"/>
  <c r="K10" i="3"/>
  <c r="M31" i="3" l="1"/>
  <c r="M29" i="3"/>
  <c r="K43" i="2"/>
  <c r="K24" i="3"/>
  <c r="K26" i="3" s="1"/>
  <c r="N39" i="2"/>
  <c r="L25" i="2"/>
  <c r="M21" i="2" s="1"/>
  <c r="L27" i="6"/>
  <c r="L6" i="9" s="1"/>
  <c r="M16" i="2"/>
  <c r="F183" i="1"/>
  <c r="G183" i="1"/>
  <c r="H183" i="1"/>
  <c r="I183" i="1"/>
  <c r="K44" i="1"/>
  <c r="K28" i="3" l="1"/>
  <c r="K42" i="8" s="1"/>
  <c r="K49" i="3" s="1"/>
  <c r="K30" i="3"/>
  <c r="K51" i="8" s="1"/>
  <c r="K48" i="3" s="1"/>
  <c r="N29" i="3"/>
  <c r="N31" i="3"/>
  <c r="L40" i="2"/>
  <c r="K44" i="2"/>
  <c r="L22" i="3"/>
  <c r="L26" i="2"/>
  <c r="L7" i="8" s="1"/>
  <c r="J183" i="1"/>
  <c r="K183" i="1" s="1"/>
  <c r="L183" i="1" s="1"/>
  <c r="M183" i="1" s="1"/>
  <c r="E8" i="3"/>
  <c r="F8" i="3"/>
  <c r="G8" i="3"/>
  <c r="H8" i="3"/>
  <c r="I8" i="3"/>
  <c r="J90" i="1"/>
  <c r="J19" i="6" s="1"/>
  <c r="K91" i="1"/>
  <c r="L91" i="1" s="1"/>
  <c r="M91" i="1" s="1"/>
  <c r="N91" i="1" s="1"/>
  <c r="F91" i="1"/>
  <c r="G91" i="1"/>
  <c r="H91" i="1"/>
  <c r="I91" i="1"/>
  <c r="J89" i="1"/>
  <c r="K89" i="1" s="1"/>
  <c r="L89" i="1" s="1"/>
  <c r="M89" i="1" s="1"/>
  <c r="N89" i="1" s="1"/>
  <c r="N18" i="6" s="1"/>
  <c r="E88" i="1"/>
  <c r="F88" i="1"/>
  <c r="G88" i="1"/>
  <c r="H88" i="1"/>
  <c r="I88" i="1"/>
  <c r="J88" i="1" s="1"/>
  <c r="E86" i="1"/>
  <c r="F86" i="1"/>
  <c r="G86" i="1"/>
  <c r="H86" i="1"/>
  <c r="I86" i="1"/>
  <c r="J86" i="1" s="1"/>
  <c r="K86" i="1" s="1"/>
  <c r="J26" i="5"/>
  <c r="K26" i="5" s="1"/>
  <c r="L26" i="5" s="1"/>
  <c r="M26" i="5" s="1"/>
  <c r="N26" i="5" s="1"/>
  <c r="F84" i="1"/>
  <c r="G84" i="1"/>
  <c r="H84" i="1"/>
  <c r="I84" i="1"/>
  <c r="J81" i="1"/>
  <c r="J14" i="6" s="1"/>
  <c r="K82" i="1"/>
  <c r="G82" i="1"/>
  <c r="H82" i="1"/>
  <c r="I82" i="1"/>
  <c r="F82" i="1"/>
  <c r="E80" i="1"/>
  <c r="F80" i="1"/>
  <c r="G80" i="1"/>
  <c r="H80" i="1"/>
  <c r="I80" i="1"/>
  <c r="E78" i="1"/>
  <c r="F78" i="1"/>
  <c r="G78" i="1"/>
  <c r="H78" i="1"/>
  <c r="I78" i="1"/>
  <c r="J78" i="1" s="1"/>
  <c r="K78" i="1" s="1"/>
  <c r="L78" i="1" s="1"/>
  <c r="M78" i="1" s="1"/>
  <c r="N78" i="1" s="1"/>
  <c r="F74" i="1"/>
  <c r="G74" i="1"/>
  <c r="H74" i="1"/>
  <c r="I74" i="1"/>
  <c r="E74" i="1"/>
  <c r="E35" i="8"/>
  <c r="L41" i="2" l="1"/>
  <c r="K10" i="8"/>
  <c r="L24" i="3"/>
  <c r="L26" i="3" s="1"/>
  <c r="F177" i="1"/>
  <c r="F19" i="3"/>
  <c r="F17" i="3"/>
  <c r="I177" i="1"/>
  <c r="I17" i="3"/>
  <c r="I19" i="3"/>
  <c r="G177" i="1"/>
  <c r="G17" i="3"/>
  <c r="G19" i="3"/>
  <c r="E19" i="3"/>
  <c r="E17" i="3"/>
  <c r="H177" i="1"/>
  <c r="H17" i="3"/>
  <c r="H19" i="3"/>
  <c r="J182" i="1"/>
  <c r="J185" i="1" s="1"/>
  <c r="N183" i="1"/>
  <c r="F4" i="3"/>
  <c r="G4" i="3"/>
  <c r="I4" i="3"/>
  <c r="J4" i="3"/>
  <c r="H4" i="3"/>
  <c r="K18" i="6"/>
  <c r="J18" i="6"/>
  <c r="J84" i="1"/>
  <c r="J83" i="1" s="1"/>
  <c r="L18" i="6"/>
  <c r="K90" i="1"/>
  <c r="M18" i="6"/>
  <c r="J74" i="1"/>
  <c r="K74" i="1" s="1"/>
  <c r="L74" i="1" s="1"/>
  <c r="J80" i="1"/>
  <c r="K80" i="1" s="1"/>
  <c r="K88" i="1"/>
  <c r="L86" i="1"/>
  <c r="K81" i="1"/>
  <c r="K14" i="6" s="1"/>
  <c r="L82" i="1"/>
  <c r="M82" i="1" s="1"/>
  <c r="N82" i="1" s="1"/>
  <c r="J160" i="1" l="1"/>
  <c r="J158" i="1" s="1"/>
  <c r="L30" i="3"/>
  <c r="L51" i="8" s="1"/>
  <c r="L48" i="3" s="1"/>
  <c r="L28" i="3"/>
  <c r="L42" i="8" s="1"/>
  <c r="L49" i="3" s="1"/>
  <c r="L28" i="6"/>
  <c r="L7" i="9" s="1"/>
  <c r="L43" i="2"/>
  <c r="M22" i="3"/>
  <c r="H7" i="3"/>
  <c r="H175" i="1" s="1"/>
  <c r="H9" i="3"/>
  <c r="H11" i="3" s="1"/>
  <c r="H13" i="3" s="1"/>
  <c r="H217" i="1" s="1"/>
  <c r="I184" i="1"/>
  <c r="I180" i="1"/>
  <c r="I7" i="3"/>
  <c r="I175" i="1" s="1"/>
  <c r="I9" i="3"/>
  <c r="I11" i="3" s="1"/>
  <c r="I13" i="3" s="1"/>
  <c r="I217" i="1" s="1"/>
  <c r="J217" i="1" s="1"/>
  <c r="K217" i="1" s="1"/>
  <c r="L217" i="1" s="1"/>
  <c r="M217" i="1" s="1"/>
  <c r="N217" i="1" s="1"/>
  <c r="F7" i="3"/>
  <c r="F175" i="1" s="1"/>
  <c r="F9" i="3"/>
  <c r="F11" i="3" s="1"/>
  <c r="F13" i="3" s="1"/>
  <c r="F217" i="1" s="1"/>
  <c r="G184" i="1"/>
  <c r="G180" i="1"/>
  <c r="H184" i="1"/>
  <c r="H180" i="1"/>
  <c r="G7" i="3"/>
  <c r="G175" i="1" s="1"/>
  <c r="G9" i="3"/>
  <c r="G11" i="3" s="1"/>
  <c r="G13" i="3" s="1"/>
  <c r="G217" i="1" s="1"/>
  <c r="F184" i="1"/>
  <c r="F180" i="1"/>
  <c r="K182" i="1"/>
  <c r="K185" i="1" s="1"/>
  <c r="J15" i="6"/>
  <c r="K84" i="1"/>
  <c r="L84" i="1" s="1"/>
  <c r="M84" i="1" s="1"/>
  <c r="N84" i="1" s="1"/>
  <c r="L90" i="1"/>
  <c r="K19" i="6"/>
  <c r="M86" i="1"/>
  <c r="M74" i="1"/>
  <c r="N74" i="1" s="1"/>
  <c r="L88" i="1"/>
  <c r="L80" i="1"/>
  <c r="M80" i="1" s="1"/>
  <c r="L81" i="1"/>
  <c r="F35" i="8"/>
  <c r="G35" i="8"/>
  <c r="H35" i="8"/>
  <c r="E47" i="8"/>
  <c r="F47" i="8"/>
  <c r="G47" i="8"/>
  <c r="H47" i="8"/>
  <c r="I47" i="8"/>
  <c r="E36" i="8"/>
  <c r="F36" i="8"/>
  <c r="G36" i="8"/>
  <c r="H36" i="8"/>
  <c r="I35" i="8"/>
  <c r="I36" i="8" s="1"/>
  <c r="F29" i="8"/>
  <c r="G29" i="8"/>
  <c r="H29" i="8"/>
  <c r="I29" i="8"/>
  <c r="F18" i="8"/>
  <c r="G18" i="8"/>
  <c r="H18" i="8"/>
  <c r="I18" i="8"/>
  <c r="E29" i="8"/>
  <c r="E18" i="8"/>
  <c r="E67" i="1"/>
  <c r="F67" i="1"/>
  <c r="G67" i="1"/>
  <c r="H67" i="1"/>
  <c r="I67" i="1"/>
  <c r="J67" i="1" s="1"/>
  <c r="K67" i="1" s="1"/>
  <c r="L67" i="1" s="1"/>
  <c r="M67" i="1" s="1"/>
  <c r="N67" i="1" s="1"/>
  <c r="K9" i="1"/>
  <c r="L9" i="1" s="1"/>
  <c r="M9" i="1" s="1"/>
  <c r="N9" i="1" s="1"/>
  <c r="F63" i="1"/>
  <c r="G63" i="1"/>
  <c r="H63" i="1"/>
  <c r="I63" i="1"/>
  <c r="F61" i="1"/>
  <c r="G61" i="1"/>
  <c r="H61" i="1"/>
  <c r="I61" i="1"/>
  <c r="E61" i="1"/>
  <c r="E55" i="1"/>
  <c r="F55" i="1"/>
  <c r="G55" i="1"/>
  <c r="H55" i="1"/>
  <c r="I55" i="1"/>
  <c r="E53" i="1"/>
  <c r="F53" i="1"/>
  <c r="G53" i="1"/>
  <c r="H53" i="1"/>
  <c r="I53" i="1"/>
  <c r="E46" i="1"/>
  <c r="F46" i="1"/>
  <c r="G46" i="1"/>
  <c r="H46" i="1"/>
  <c r="I46" i="1"/>
  <c r="M49" i="1"/>
  <c r="N49" i="1"/>
  <c r="L49" i="1"/>
  <c r="K49" i="1"/>
  <c r="J42" i="1"/>
  <c r="K43" i="1"/>
  <c r="L43" i="1" s="1"/>
  <c r="G43" i="1"/>
  <c r="H43" i="1"/>
  <c r="I43" i="1"/>
  <c r="F43" i="1"/>
  <c r="K47" i="1"/>
  <c r="J39" i="1"/>
  <c r="K39" i="1" s="1"/>
  <c r="L39" i="1" s="1"/>
  <c r="M39" i="1" s="1"/>
  <c r="N39" i="1" s="1"/>
  <c r="N40" i="1" s="1"/>
  <c r="F37" i="1"/>
  <c r="G37" i="1"/>
  <c r="H37" i="1"/>
  <c r="I37" i="1"/>
  <c r="E37" i="1"/>
  <c r="J34" i="1"/>
  <c r="J37" i="1" s="1"/>
  <c r="J48" i="1" s="1"/>
  <c r="K48" i="1" s="1"/>
  <c r="K36" i="1"/>
  <c r="M27" i="1"/>
  <c r="N27" i="1" s="1"/>
  <c r="J30" i="1"/>
  <c r="K31" i="1"/>
  <c r="L31" i="1" s="1"/>
  <c r="M31" i="1" s="1"/>
  <c r="N31" i="1" s="1"/>
  <c r="G31" i="1"/>
  <c r="H31" i="1"/>
  <c r="I31" i="1"/>
  <c r="F31" i="1"/>
  <c r="J26" i="1"/>
  <c r="K26" i="1" s="1"/>
  <c r="L26" i="1" s="1"/>
  <c r="M26" i="1" s="1"/>
  <c r="N26" i="1" s="1"/>
  <c r="E29" i="1"/>
  <c r="F29" i="1"/>
  <c r="G29" i="1"/>
  <c r="H29" i="1"/>
  <c r="I29" i="1"/>
  <c r="J29" i="1" s="1"/>
  <c r="J28" i="1" s="1"/>
  <c r="K59" i="1"/>
  <c r="L59" i="1" s="1"/>
  <c r="M59" i="1" s="1"/>
  <c r="N59" i="1" s="1"/>
  <c r="J14" i="5"/>
  <c r="K14" i="5"/>
  <c r="L14" i="5"/>
  <c r="M14" i="5"/>
  <c r="G14" i="5"/>
  <c r="H14" i="5"/>
  <c r="I14" i="5"/>
  <c r="F14" i="5"/>
  <c r="F14" i="1"/>
  <c r="G14" i="1"/>
  <c r="H14" i="1"/>
  <c r="I14" i="1"/>
  <c r="E14" i="1"/>
  <c r="J10" i="1"/>
  <c r="K10" i="1" s="1"/>
  <c r="J5" i="1"/>
  <c r="K5" i="1" s="1"/>
  <c r="E6" i="1"/>
  <c r="F6" i="1"/>
  <c r="G6" i="1"/>
  <c r="H6" i="1"/>
  <c r="I6" i="1"/>
  <c r="J17" i="1"/>
  <c r="K17" i="1" s="1"/>
  <c r="L17" i="1" s="1"/>
  <c r="M17" i="1" s="1"/>
  <c r="N17" i="1" s="1"/>
  <c r="F18" i="1"/>
  <c r="G18" i="1"/>
  <c r="H18" i="1"/>
  <c r="I18" i="1"/>
  <c r="E4" i="5"/>
  <c r="F4" i="5"/>
  <c r="F5" i="5" s="1"/>
  <c r="G4" i="5"/>
  <c r="H4" i="5"/>
  <c r="I4" i="5"/>
  <c r="L8" i="1"/>
  <c r="L9" i="5" s="1"/>
  <c r="K8" i="1"/>
  <c r="K9" i="5" s="1"/>
  <c r="J8" i="1"/>
  <c r="J9" i="5" s="1"/>
  <c r="M7" i="1"/>
  <c r="M32" i="2" s="1"/>
  <c r="J4" i="1"/>
  <c r="E27" i="5"/>
  <c r="F27" i="5"/>
  <c r="G27" i="5"/>
  <c r="H27" i="5"/>
  <c r="I27" i="5"/>
  <c r="F34" i="6"/>
  <c r="E34" i="6"/>
  <c r="I39" i="6"/>
  <c r="I10" i="4" s="1"/>
  <c r="I34" i="6"/>
  <c r="H34" i="6"/>
  <c r="H29" i="6"/>
  <c r="H18" i="9" s="1"/>
  <c r="E21" i="6"/>
  <c r="F111" i="1" s="1"/>
  <c r="F21" i="6"/>
  <c r="G111" i="1" s="1"/>
  <c r="G21" i="6"/>
  <c r="H111" i="1" s="1"/>
  <c r="H21" i="6"/>
  <c r="I111" i="1" s="1"/>
  <c r="I21" i="6"/>
  <c r="E7" i="6"/>
  <c r="F7" i="6"/>
  <c r="G7" i="6"/>
  <c r="H7" i="6"/>
  <c r="I7" i="6"/>
  <c r="I60" i="8" l="1"/>
  <c r="I63" i="8" s="1"/>
  <c r="I30" i="8"/>
  <c r="I213" i="1" s="1"/>
  <c r="J213" i="1" s="1"/>
  <c r="K213" i="1" s="1"/>
  <c r="L213" i="1" s="1"/>
  <c r="M213" i="1" s="1"/>
  <c r="N213" i="1" s="1"/>
  <c r="G176" i="1"/>
  <c r="I176" i="1"/>
  <c r="H176" i="1"/>
  <c r="J176" i="1" s="1"/>
  <c r="J175" i="1" s="1"/>
  <c r="F30" i="8"/>
  <c r="F213" i="1" s="1"/>
  <c r="H30" i="8"/>
  <c r="H213" i="1" s="1"/>
  <c r="G30" i="8"/>
  <c r="G213" i="1" s="1"/>
  <c r="M116" i="1"/>
  <c r="M17" i="2" s="1"/>
  <c r="M55" i="2" s="1"/>
  <c r="M59" i="2"/>
  <c r="J156" i="1"/>
  <c r="H31" i="5"/>
  <c r="H170" i="1"/>
  <c r="H149" i="1"/>
  <c r="H93" i="1"/>
  <c r="E31" i="5"/>
  <c r="E149" i="1"/>
  <c r="E170" i="1"/>
  <c r="E93" i="1"/>
  <c r="G31" i="5"/>
  <c r="G170" i="1"/>
  <c r="G149" i="1"/>
  <c r="G93" i="1"/>
  <c r="I31" i="5"/>
  <c r="I149" i="1"/>
  <c r="I170" i="1"/>
  <c r="I93" i="1"/>
  <c r="F31" i="5"/>
  <c r="F149" i="1"/>
  <c r="F170" i="1"/>
  <c r="F93" i="1"/>
  <c r="L44" i="2"/>
  <c r="M40" i="2"/>
  <c r="M24" i="3"/>
  <c r="M26" i="3" s="1"/>
  <c r="J11" i="1"/>
  <c r="K11" i="1" s="1"/>
  <c r="L11" i="1" s="1"/>
  <c r="M11" i="1" s="1"/>
  <c r="N11" i="1" s="1"/>
  <c r="J128" i="1"/>
  <c r="J130" i="1" s="1"/>
  <c r="J221" i="1" s="1"/>
  <c r="N7" i="1"/>
  <c r="N32" i="2" s="1"/>
  <c r="L182" i="1"/>
  <c r="L185" i="1" s="1"/>
  <c r="J111" i="1"/>
  <c r="K111" i="1" s="1"/>
  <c r="M90" i="1"/>
  <c r="L19" i="6"/>
  <c r="M81" i="1"/>
  <c r="L14" i="6"/>
  <c r="K83" i="1"/>
  <c r="I59" i="1"/>
  <c r="I76" i="1"/>
  <c r="H59" i="1"/>
  <c r="H76" i="1"/>
  <c r="G59" i="1"/>
  <c r="G76" i="1"/>
  <c r="F59" i="1"/>
  <c r="F76" i="1"/>
  <c r="N86" i="1"/>
  <c r="M88" i="1"/>
  <c r="E59" i="1"/>
  <c r="E76" i="1"/>
  <c r="N80" i="1"/>
  <c r="J61" i="1"/>
  <c r="E60" i="8"/>
  <c r="E30" i="8"/>
  <c r="E213" i="1" s="1"/>
  <c r="H60" i="8"/>
  <c r="F60" i="8"/>
  <c r="F63" i="8" s="1"/>
  <c r="G60" i="8"/>
  <c r="G63" i="8" s="1"/>
  <c r="J4" i="5"/>
  <c r="J55" i="1"/>
  <c r="J51" i="1"/>
  <c r="K51" i="1"/>
  <c r="J53" i="1"/>
  <c r="K53" i="1" s="1"/>
  <c r="L53" i="1" s="1"/>
  <c r="M53" i="1" s="1"/>
  <c r="L48" i="1"/>
  <c r="L51" i="1" s="1"/>
  <c r="K42" i="1"/>
  <c r="K46" i="1" s="1"/>
  <c r="K22" i="5" s="1"/>
  <c r="L44" i="1"/>
  <c r="M43" i="1"/>
  <c r="N43" i="1" s="1"/>
  <c r="K37" i="1"/>
  <c r="J46" i="1"/>
  <c r="K34" i="1"/>
  <c r="L34" i="1" s="1"/>
  <c r="K15" i="5"/>
  <c r="K29" i="1"/>
  <c r="L29" i="1" s="1"/>
  <c r="M29" i="1" s="1"/>
  <c r="N29" i="1" s="1"/>
  <c r="N28" i="1" s="1"/>
  <c r="K30" i="1"/>
  <c r="L30" i="1" s="1"/>
  <c r="M30" i="1" s="1"/>
  <c r="N30" i="1" s="1"/>
  <c r="J24" i="5"/>
  <c r="J6" i="7" s="1"/>
  <c r="J15" i="5"/>
  <c r="L15" i="5"/>
  <c r="H13" i="1"/>
  <c r="H15" i="1" s="1"/>
  <c r="H5" i="5"/>
  <c r="E5" i="5"/>
  <c r="I5" i="5"/>
  <c r="G5" i="5"/>
  <c r="G13" i="1"/>
  <c r="G15" i="1" s="1"/>
  <c r="I13" i="1"/>
  <c r="I15" i="1" s="1"/>
  <c r="F13" i="1"/>
  <c r="F15" i="1" s="1"/>
  <c r="F10" i="5" s="1"/>
  <c r="E13" i="1"/>
  <c r="E15" i="1" s="1"/>
  <c r="J12" i="1"/>
  <c r="L10" i="1"/>
  <c r="M8" i="1"/>
  <c r="J6" i="1"/>
  <c r="J20" i="5" s="1"/>
  <c r="L5" i="1"/>
  <c r="K4" i="1"/>
  <c r="K4" i="5" s="1"/>
  <c r="E23" i="6"/>
  <c r="F23" i="6"/>
  <c r="G23" i="6"/>
  <c r="I23" i="6"/>
  <c r="H23" i="6"/>
  <c r="H63" i="8" l="1"/>
  <c r="K176" i="1"/>
  <c r="L176" i="1" s="1"/>
  <c r="M176" i="1" s="1"/>
  <c r="N116" i="1"/>
  <c r="N17" i="2" s="1"/>
  <c r="N55" i="2" s="1"/>
  <c r="N59" i="2"/>
  <c r="J26" i="7"/>
  <c r="J170" i="1"/>
  <c r="J93" i="1"/>
  <c r="K93" i="1" s="1"/>
  <c r="J149" i="1"/>
  <c r="N22" i="3"/>
  <c r="N24" i="3" s="1"/>
  <c r="N26" i="3" s="1"/>
  <c r="M28" i="3"/>
  <c r="M42" i="8" s="1"/>
  <c r="M49" i="3" s="1"/>
  <c r="M30" i="3"/>
  <c r="M51" i="8" s="1"/>
  <c r="M48" i="3" s="1"/>
  <c r="M41" i="2"/>
  <c r="M28" i="6" s="1"/>
  <c r="M7" i="9" s="1"/>
  <c r="L10" i="8"/>
  <c r="J13" i="1"/>
  <c r="J129" i="1"/>
  <c r="J44" i="9" s="1"/>
  <c r="K130" i="1"/>
  <c r="L130" i="1" s="1"/>
  <c r="M130" i="1" s="1"/>
  <c r="N130" i="1" s="1"/>
  <c r="K128" i="1"/>
  <c r="L128" i="1" s="1"/>
  <c r="M128" i="1" s="1"/>
  <c r="N128" i="1" s="1"/>
  <c r="J127" i="1"/>
  <c r="M20" i="2"/>
  <c r="M182" i="1"/>
  <c r="N182" i="1" s="1"/>
  <c r="N185" i="1" s="1"/>
  <c r="L111" i="1"/>
  <c r="J22" i="5"/>
  <c r="J50" i="1"/>
  <c r="K50" i="1"/>
  <c r="J7" i="3"/>
  <c r="L83" i="1"/>
  <c r="K15" i="6"/>
  <c r="J76" i="1"/>
  <c r="K76" i="1" s="1"/>
  <c r="L76" i="1" s="1"/>
  <c r="M76" i="1" s="1"/>
  <c r="N81" i="1"/>
  <c r="N14" i="6" s="1"/>
  <c r="M14" i="6"/>
  <c r="N90" i="1"/>
  <c r="N19" i="6" s="1"/>
  <c r="M19" i="6"/>
  <c r="N88" i="1"/>
  <c r="K61" i="1"/>
  <c r="L61" i="1" s="1"/>
  <c r="M61" i="1" s="1"/>
  <c r="N61" i="1" s="1"/>
  <c r="E63" i="8"/>
  <c r="J5" i="5"/>
  <c r="J6" i="5" s="1"/>
  <c r="K7" i="5" s="1"/>
  <c r="K55" i="1"/>
  <c r="K52" i="1"/>
  <c r="J52" i="1"/>
  <c r="N53" i="1"/>
  <c r="L42" i="1"/>
  <c r="L46" i="1" s="1"/>
  <c r="L52" i="1"/>
  <c r="M48" i="1"/>
  <c r="M51" i="1" s="1"/>
  <c r="M52" i="1" s="1"/>
  <c r="L47" i="1"/>
  <c r="M44" i="1"/>
  <c r="M34" i="1"/>
  <c r="L37" i="1"/>
  <c r="M28" i="1"/>
  <c r="M24" i="5" s="1"/>
  <c r="M6" i="7" s="1"/>
  <c r="L28" i="1"/>
  <c r="L24" i="5" s="1"/>
  <c r="L6" i="7" s="1"/>
  <c r="K28" i="1"/>
  <c r="K24" i="5" s="1"/>
  <c r="K6" i="7" s="1"/>
  <c r="N24" i="5"/>
  <c r="N6" i="7" s="1"/>
  <c r="I6" i="5"/>
  <c r="J7" i="5" s="1"/>
  <c r="F7" i="5"/>
  <c r="F6" i="5"/>
  <c r="G7" i="5" s="1"/>
  <c r="H6" i="5"/>
  <c r="I7" i="5" s="1"/>
  <c r="G6" i="5"/>
  <c r="H7" i="5" s="1"/>
  <c r="K12" i="1"/>
  <c r="J14" i="1"/>
  <c r="K5" i="5"/>
  <c r="K13" i="1"/>
  <c r="N8" i="1"/>
  <c r="N9" i="5" s="1"/>
  <c r="N15" i="5" s="1"/>
  <c r="M9" i="5"/>
  <c r="M15" i="5" s="1"/>
  <c r="E10" i="5"/>
  <c r="F11" i="5" s="1"/>
  <c r="H10" i="5"/>
  <c r="I10" i="5"/>
  <c r="G10" i="5"/>
  <c r="M10" i="1"/>
  <c r="K6" i="1"/>
  <c r="K20" i="5" s="1"/>
  <c r="M5" i="1"/>
  <c r="L4" i="1"/>
  <c r="L4" i="5" s="1"/>
  <c r="I24" i="6"/>
  <c r="I30" i="6"/>
  <c r="G24" i="6"/>
  <c r="G30" i="6"/>
  <c r="F24" i="6"/>
  <c r="F30" i="6"/>
  <c r="E24" i="6"/>
  <c r="E30" i="6"/>
  <c r="H24" i="6"/>
  <c r="H30" i="6"/>
  <c r="H11" i="5" l="1"/>
  <c r="I11" i="5"/>
  <c r="G11" i="5"/>
  <c r="N176" i="1"/>
  <c r="J209" i="1"/>
  <c r="J16" i="7" s="1"/>
  <c r="J197" i="1"/>
  <c r="L93" i="1"/>
  <c r="M93" i="1" s="1"/>
  <c r="K221" i="1"/>
  <c r="J36" i="3"/>
  <c r="J51" i="9"/>
  <c r="J8" i="3"/>
  <c r="J9" i="3" s="1"/>
  <c r="J11" i="3" s="1"/>
  <c r="J49" i="9" s="1"/>
  <c r="E32" i="6"/>
  <c r="E35" i="6" s="1"/>
  <c r="E4" i="9"/>
  <c r="E19" i="9" s="1"/>
  <c r="E28" i="9" s="1"/>
  <c r="E30" i="9" s="1"/>
  <c r="E58" i="9" s="1"/>
  <c r="F32" i="6"/>
  <c r="F35" i="6" s="1"/>
  <c r="F4" i="9"/>
  <c r="F19" i="9" s="1"/>
  <c r="F28" i="9" s="1"/>
  <c r="F30" i="9" s="1"/>
  <c r="F58" i="9" s="1"/>
  <c r="G32" i="6"/>
  <c r="G35" i="6" s="1"/>
  <c r="G4" i="9"/>
  <c r="G19" i="9" s="1"/>
  <c r="G28" i="9" s="1"/>
  <c r="G30" i="9" s="1"/>
  <c r="G58" i="9" s="1"/>
  <c r="H32" i="6"/>
  <c r="H35" i="6" s="1"/>
  <c r="H4" i="9"/>
  <c r="H19" i="9" s="1"/>
  <c r="H28" i="9" s="1"/>
  <c r="H30" i="9" s="1"/>
  <c r="H58" i="9" s="1"/>
  <c r="I32" i="6"/>
  <c r="I35" i="6" s="1"/>
  <c r="I40" i="6" s="1"/>
  <c r="I41" i="6" s="1"/>
  <c r="I4" i="9"/>
  <c r="I19" i="9" s="1"/>
  <c r="I28" i="9" s="1"/>
  <c r="I30" i="9" s="1"/>
  <c r="I58" i="9" s="1"/>
  <c r="K170" i="1"/>
  <c r="K149" i="1"/>
  <c r="N30" i="3"/>
  <c r="N51" i="8" s="1"/>
  <c r="N48" i="3" s="1"/>
  <c r="N28" i="3"/>
  <c r="N42" i="8" s="1"/>
  <c r="N49" i="3" s="1"/>
  <c r="J15" i="1"/>
  <c r="J10" i="5" s="1"/>
  <c r="J11" i="5" s="1"/>
  <c r="M43" i="2"/>
  <c r="K127" i="1"/>
  <c r="J48" i="2"/>
  <c r="J31" i="6" s="1"/>
  <c r="K129" i="1"/>
  <c r="K44" i="9" s="1"/>
  <c r="J49" i="2"/>
  <c r="N16" i="2"/>
  <c r="M22" i="2"/>
  <c r="M185" i="1"/>
  <c r="M111" i="1"/>
  <c r="N111" i="1" s="1"/>
  <c r="L50" i="1"/>
  <c r="J75" i="1"/>
  <c r="J11" i="6" s="1"/>
  <c r="M83" i="1"/>
  <c r="L15" i="6"/>
  <c r="G8" i="5"/>
  <c r="K6" i="5"/>
  <c r="L7" i="5" s="1"/>
  <c r="L8" i="5" s="1"/>
  <c r="L23" i="5"/>
  <c r="L73" i="1"/>
  <c r="L10" i="6" s="1"/>
  <c r="N76" i="1"/>
  <c r="K75" i="1"/>
  <c r="K11" i="6" s="1"/>
  <c r="J23" i="5"/>
  <c r="J25" i="5" s="1"/>
  <c r="J73" i="1"/>
  <c r="J10" i="6" s="1"/>
  <c r="J20" i="8" s="1"/>
  <c r="K23" i="5"/>
  <c r="K73" i="1"/>
  <c r="K10" i="6" s="1"/>
  <c r="M23" i="5"/>
  <c r="M73" i="1"/>
  <c r="M10" i="6" s="1"/>
  <c r="I8" i="5"/>
  <c r="J8" i="5"/>
  <c r="K8" i="5"/>
  <c r="H8" i="5"/>
  <c r="L22" i="5"/>
  <c r="M42" i="1"/>
  <c r="N42" i="1" s="1"/>
  <c r="N46" i="1" s="1"/>
  <c r="L55" i="1"/>
  <c r="N48" i="1"/>
  <c r="N51" i="1" s="1"/>
  <c r="N52" i="1" s="1"/>
  <c r="N44" i="1"/>
  <c r="N47" i="1" s="1"/>
  <c r="M47" i="1"/>
  <c r="N34" i="1"/>
  <c r="N37" i="1" s="1"/>
  <c r="M37" i="1"/>
  <c r="F13" i="5"/>
  <c r="F16" i="5" s="1"/>
  <c r="L5" i="5"/>
  <c r="L6" i="5" s="1"/>
  <c r="M7" i="5" s="1"/>
  <c r="L13" i="1"/>
  <c r="L12" i="1"/>
  <c r="K14" i="1"/>
  <c r="K15" i="1" s="1"/>
  <c r="K10" i="5" s="1"/>
  <c r="L6" i="1"/>
  <c r="L20" i="5" s="1"/>
  <c r="N10" i="1"/>
  <c r="N5" i="1"/>
  <c r="M4" i="1"/>
  <c r="M4" i="5" s="1"/>
  <c r="K209" i="1" l="1"/>
  <c r="K16" i="7" s="1"/>
  <c r="K197" i="1"/>
  <c r="N93" i="1"/>
  <c r="J177" i="1"/>
  <c r="J184" i="1" s="1"/>
  <c r="J18" i="3"/>
  <c r="J50" i="8" s="1"/>
  <c r="K26" i="7"/>
  <c r="L221" i="1"/>
  <c r="J16" i="3"/>
  <c r="J41" i="8" s="1"/>
  <c r="J5" i="7"/>
  <c r="I9" i="4"/>
  <c r="K25" i="5"/>
  <c r="K5" i="7" s="1"/>
  <c r="H40" i="6"/>
  <c r="H41" i="6" s="1"/>
  <c r="H9" i="4"/>
  <c r="G40" i="6"/>
  <c r="G41" i="6" s="1"/>
  <c r="G9" i="4"/>
  <c r="F40" i="6"/>
  <c r="F41" i="6" s="1"/>
  <c r="F9" i="4"/>
  <c r="F14" i="4" s="1"/>
  <c r="G8" i="4" s="1"/>
  <c r="E61" i="9"/>
  <c r="E40" i="6"/>
  <c r="E41" i="6" s="1"/>
  <c r="E9" i="4"/>
  <c r="L170" i="1"/>
  <c r="L149" i="1"/>
  <c r="M149" i="1" s="1"/>
  <c r="M170" i="1"/>
  <c r="J13" i="3"/>
  <c r="J26" i="6" s="1"/>
  <c r="J42" i="3"/>
  <c r="J21" i="9"/>
  <c r="N40" i="2"/>
  <c r="M44" i="2"/>
  <c r="L129" i="1"/>
  <c r="L44" i="9" s="1"/>
  <c r="K49" i="2"/>
  <c r="J51" i="2"/>
  <c r="L127" i="1"/>
  <c r="K48" i="2"/>
  <c r="K31" i="6" s="1"/>
  <c r="M25" i="2"/>
  <c r="N21" i="2" s="1"/>
  <c r="M27" i="6"/>
  <c r="M6" i="9" s="1"/>
  <c r="N20" i="2"/>
  <c r="N22" i="2" s="1"/>
  <c r="K20" i="8"/>
  <c r="N50" i="1"/>
  <c r="M8" i="5"/>
  <c r="N83" i="1"/>
  <c r="N15" i="6" s="1"/>
  <c r="M15" i="6"/>
  <c r="N23" i="5"/>
  <c r="N73" i="1"/>
  <c r="N10" i="6" s="1"/>
  <c r="L75" i="1"/>
  <c r="L11" i="6" s="1"/>
  <c r="L25" i="5"/>
  <c r="L5" i="7" s="1"/>
  <c r="G13" i="5"/>
  <c r="G16" i="5" s="1"/>
  <c r="H13" i="5"/>
  <c r="H16" i="5" s="1"/>
  <c r="I13" i="5"/>
  <c r="I16" i="5" s="1"/>
  <c r="J13" i="5"/>
  <c r="J16" i="5" s="1"/>
  <c r="J19" i="5" s="1"/>
  <c r="J204" i="1" s="1"/>
  <c r="K11" i="5"/>
  <c r="K13" i="5" s="1"/>
  <c r="K16" i="5" s="1"/>
  <c r="K19" i="5" s="1"/>
  <c r="K204" i="1" s="1"/>
  <c r="M46" i="1"/>
  <c r="M22" i="5" s="1"/>
  <c r="N22" i="5"/>
  <c r="M55" i="1"/>
  <c r="M12" i="1"/>
  <c r="L14" i="1"/>
  <c r="L15" i="1" s="1"/>
  <c r="L10" i="5" s="1"/>
  <c r="M5" i="5"/>
  <c r="M13" i="1"/>
  <c r="M6" i="1"/>
  <c r="N4" i="1"/>
  <c r="N4" i="5" s="1"/>
  <c r="G14" i="4" l="1"/>
  <c r="H8" i="4" s="1"/>
  <c r="H14" i="4" s="1"/>
  <c r="I8" i="4" s="1"/>
  <c r="J14" i="9"/>
  <c r="J216" i="1"/>
  <c r="J22" i="7" s="1"/>
  <c r="L209" i="1"/>
  <c r="L16" i="7" s="1"/>
  <c r="L197" i="1"/>
  <c r="L26" i="7"/>
  <c r="M221" i="1"/>
  <c r="F59" i="9"/>
  <c r="F61" i="9" s="1"/>
  <c r="I14" i="4"/>
  <c r="J8" i="4" s="1"/>
  <c r="J38" i="3"/>
  <c r="J47" i="3" s="1"/>
  <c r="K210" i="1"/>
  <c r="K17" i="7" s="1"/>
  <c r="K13" i="7"/>
  <c r="K200" i="1"/>
  <c r="K9" i="7" s="1"/>
  <c r="K14" i="7"/>
  <c r="J13" i="7"/>
  <c r="J210" i="1"/>
  <c r="J17" i="7" s="1"/>
  <c r="J14" i="7"/>
  <c r="J200" i="1"/>
  <c r="J9" i="7" s="1"/>
  <c r="N149" i="1"/>
  <c r="N170" i="1"/>
  <c r="K167" i="1"/>
  <c r="K57" i="8" s="1"/>
  <c r="K4" i="7"/>
  <c r="J167" i="1"/>
  <c r="J57" i="8" s="1"/>
  <c r="J4" i="7"/>
  <c r="L20" i="8"/>
  <c r="L21" i="9" s="1"/>
  <c r="K21" i="9"/>
  <c r="J162" i="1"/>
  <c r="J166" i="1" s="1"/>
  <c r="J46" i="8" s="1"/>
  <c r="J164" i="1"/>
  <c r="K162" i="1"/>
  <c r="K166" i="1" s="1"/>
  <c r="K46" i="8" s="1"/>
  <c r="K164" i="1"/>
  <c r="K152" i="1"/>
  <c r="K150" i="1"/>
  <c r="J152" i="1"/>
  <c r="J150" i="1"/>
  <c r="M10" i="8"/>
  <c r="N41" i="2"/>
  <c r="N28" i="6" s="1"/>
  <c r="N7" i="9" s="1"/>
  <c r="M127" i="1"/>
  <c r="L48" i="2"/>
  <c r="L31" i="6" s="1"/>
  <c r="J11" i="8"/>
  <c r="K47" i="2"/>
  <c r="K51" i="2" s="1"/>
  <c r="M129" i="1"/>
  <c r="M44" i="9" s="1"/>
  <c r="L49" i="2"/>
  <c r="M26" i="2"/>
  <c r="M7" i="8" s="1"/>
  <c r="N25" i="2"/>
  <c r="N26" i="2" s="1"/>
  <c r="N7" i="8" s="1"/>
  <c r="N27" i="6"/>
  <c r="N6" i="9" s="1"/>
  <c r="M50" i="1"/>
  <c r="J79" i="1"/>
  <c r="J13" i="6" s="1"/>
  <c r="J85" i="1"/>
  <c r="J16" i="6" s="1"/>
  <c r="J10" i="7" s="1"/>
  <c r="J87" i="1"/>
  <c r="J17" i="6" s="1"/>
  <c r="M20" i="5"/>
  <c r="M75" i="1"/>
  <c r="M11" i="6" s="1"/>
  <c r="K85" i="1"/>
  <c r="K16" i="6" s="1"/>
  <c r="K10" i="7" s="1"/>
  <c r="K87" i="1"/>
  <c r="K17" i="6" s="1"/>
  <c r="K30" i="5"/>
  <c r="K6" i="6" s="1"/>
  <c r="K79" i="1"/>
  <c r="K13" i="6" s="1"/>
  <c r="J21" i="5"/>
  <c r="J7" i="7" s="1"/>
  <c r="J30" i="5"/>
  <c r="J6" i="6" s="1"/>
  <c r="M25" i="5"/>
  <c r="M5" i="7" s="1"/>
  <c r="K21" i="5"/>
  <c r="K7" i="7" s="1"/>
  <c r="N55" i="1"/>
  <c r="N25" i="5" s="1"/>
  <c r="N5" i="7" s="1"/>
  <c r="M6" i="5"/>
  <c r="L11" i="5"/>
  <c r="N5" i="5"/>
  <c r="N6" i="5" s="1"/>
  <c r="N13" i="1"/>
  <c r="N12" i="1"/>
  <c r="N14" i="1" s="1"/>
  <c r="M14" i="1"/>
  <c r="M15" i="1" s="1"/>
  <c r="M10" i="5" s="1"/>
  <c r="M11" i="5" s="1"/>
  <c r="M13" i="5" s="1"/>
  <c r="N6" i="1"/>
  <c r="N21" i="1"/>
  <c r="J222" i="1" l="1"/>
  <c r="J27" i="7" s="1"/>
  <c r="M209" i="1"/>
  <c r="M16" i="7" s="1"/>
  <c r="M197" i="1"/>
  <c r="M26" i="7"/>
  <c r="N221" i="1"/>
  <c r="N26" i="7" s="1"/>
  <c r="G59" i="9"/>
  <c r="G61" i="9" s="1"/>
  <c r="K34" i="3"/>
  <c r="J50" i="3"/>
  <c r="M20" i="8"/>
  <c r="M21" i="9" s="1"/>
  <c r="J8" i="7"/>
  <c r="K8" i="7"/>
  <c r="J154" i="1"/>
  <c r="J43" i="8"/>
  <c r="K154" i="1"/>
  <c r="N43" i="2"/>
  <c r="N44" i="2" s="1"/>
  <c r="N10" i="8" s="1"/>
  <c r="N129" i="1"/>
  <c r="M49" i="2"/>
  <c r="K11" i="8"/>
  <c r="L47" i="2"/>
  <c r="L51" i="2" s="1"/>
  <c r="N127" i="1"/>
  <c r="N48" i="2" s="1"/>
  <c r="N31" i="6" s="1"/>
  <c r="M48" i="2"/>
  <c r="M31" i="6" s="1"/>
  <c r="N20" i="5"/>
  <c r="N75" i="1"/>
  <c r="N11" i="6" s="1"/>
  <c r="K27" i="5"/>
  <c r="K77" i="1"/>
  <c r="K12" i="6" s="1"/>
  <c r="J27" i="5"/>
  <c r="J77" i="1"/>
  <c r="J12" i="6" s="1"/>
  <c r="L13" i="5"/>
  <c r="L16" i="5" s="1"/>
  <c r="L19" i="5" s="1"/>
  <c r="L204" i="1" s="1"/>
  <c r="N15" i="1"/>
  <c r="N10" i="5" s="1"/>
  <c r="N11" i="5" s="1"/>
  <c r="N7" i="5"/>
  <c r="N8" i="5" s="1"/>
  <c r="M16" i="5"/>
  <c r="M19" i="5" s="1"/>
  <c r="M204" i="1" s="1"/>
  <c r="N14" i="5"/>
  <c r="N197" i="1" l="1"/>
  <c r="N44" i="9"/>
  <c r="N49" i="2"/>
  <c r="N209" i="1"/>
  <c r="N16" i="7" s="1"/>
  <c r="N20" i="8"/>
  <c r="N21" i="9" s="1"/>
  <c r="H59" i="9"/>
  <c r="H61" i="9" s="1"/>
  <c r="M14" i="7"/>
  <c r="M210" i="1"/>
  <c r="M17" i="7" s="1"/>
  <c r="M13" i="7"/>
  <c r="M200" i="1"/>
  <c r="M9" i="7" s="1"/>
  <c r="K225" i="1"/>
  <c r="K29" i="7" s="1"/>
  <c r="K207" i="1"/>
  <c r="K15" i="7" s="1"/>
  <c r="K202" i="1"/>
  <c r="K11" i="7" s="1"/>
  <c r="K12" i="7" s="1"/>
  <c r="K18" i="7" s="1"/>
  <c r="L13" i="7"/>
  <c r="L210" i="1"/>
  <c r="L17" i="7" s="1"/>
  <c r="L200" i="1"/>
  <c r="L9" i="7" s="1"/>
  <c r="L14" i="7"/>
  <c r="J169" i="1"/>
  <c r="J55" i="8" s="1"/>
  <c r="J26" i="9" s="1"/>
  <c r="J207" i="1"/>
  <c r="J15" i="7" s="1"/>
  <c r="J225" i="1"/>
  <c r="J29" i="7" s="1"/>
  <c r="J202" i="1"/>
  <c r="J11" i="7" s="1"/>
  <c r="J12" i="7" s="1"/>
  <c r="L167" i="1"/>
  <c r="L57" i="8" s="1"/>
  <c r="L4" i="7"/>
  <c r="M167" i="1"/>
  <c r="M57" i="8" s="1"/>
  <c r="M4" i="7"/>
  <c r="J47" i="8"/>
  <c r="K148" i="1"/>
  <c r="K28" i="8" s="1"/>
  <c r="K169" i="1"/>
  <c r="M162" i="1"/>
  <c r="M166" i="1" s="1"/>
  <c r="M46" i="8" s="1"/>
  <c r="M164" i="1"/>
  <c r="L162" i="1"/>
  <c r="L166" i="1" s="1"/>
  <c r="L46" i="8" s="1"/>
  <c r="L164" i="1"/>
  <c r="L152" i="1"/>
  <c r="L150" i="1"/>
  <c r="M150" i="1"/>
  <c r="M152" i="1"/>
  <c r="J4" i="6"/>
  <c r="J148" i="1"/>
  <c r="J28" i="8" s="1"/>
  <c r="M47" i="2"/>
  <c r="M51" i="2" s="1"/>
  <c r="L11" i="8"/>
  <c r="J92" i="1"/>
  <c r="J20" i="6" s="1"/>
  <c r="J21" i="6" s="1"/>
  <c r="J52" i="8" s="1"/>
  <c r="K92" i="1"/>
  <c r="K20" i="6" s="1"/>
  <c r="K21" i="6" s="1"/>
  <c r="K4" i="6"/>
  <c r="K33" i="6" s="1"/>
  <c r="M85" i="1"/>
  <c r="M16" i="6" s="1"/>
  <c r="M10" i="7" s="1"/>
  <c r="M87" i="1"/>
  <c r="M17" i="6" s="1"/>
  <c r="L79" i="1"/>
  <c r="L13" i="6" s="1"/>
  <c r="L85" i="1"/>
  <c r="L16" i="6" s="1"/>
  <c r="L10" i="7" s="1"/>
  <c r="L87" i="1"/>
  <c r="L17" i="6" s="1"/>
  <c r="M30" i="5"/>
  <c r="M6" i="6" s="1"/>
  <c r="M79" i="1"/>
  <c r="M13" i="6" s="1"/>
  <c r="L21" i="5"/>
  <c r="L30" i="5"/>
  <c r="L6" i="6" s="1"/>
  <c r="N13" i="5"/>
  <c r="N16" i="5" s="1"/>
  <c r="N19" i="5" s="1"/>
  <c r="N204" i="1" s="1"/>
  <c r="M21" i="5"/>
  <c r="M7" i="7" s="1"/>
  <c r="J24" i="9" l="1"/>
  <c r="K24" i="9"/>
  <c r="K194" i="1"/>
  <c r="K171" i="1" s="1"/>
  <c r="K29" i="9"/>
  <c r="I59" i="9"/>
  <c r="I61" i="9" s="1"/>
  <c r="J18" i="7"/>
  <c r="M8" i="7"/>
  <c r="N210" i="1"/>
  <c r="N17" i="7" s="1"/>
  <c r="N14" i="7"/>
  <c r="N200" i="1"/>
  <c r="N9" i="7" s="1"/>
  <c r="N13" i="7"/>
  <c r="L27" i="5"/>
  <c r="L7" i="7"/>
  <c r="L8" i="7" s="1"/>
  <c r="N167" i="1"/>
  <c r="N57" i="8" s="1"/>
  <c r="N4" i="7"/>
  <c r="K195" i="1"/>
  <c r="J23" i="8"/>
  <c r="J33" i="6"/>
  <c r="J25" i="9"/>
  <c r="M154" i="1"/>
  <c r="N162" i="1"/>
  <c r="N166" i="1" s="1"/>
  <c r="N46" i="8" s="1"/>
  <c r="N164" i="1"/>
  <c r="N150" i="1"/>
  <c r="N152" i="1"/>
  <c r="L154" i="1"/>
  <c r="N47" i="2"/>
  <c r="N51" i="2" s="1"/>
  <c r="N11" i="8" s="1"/>
  <c r="M11" i="8"/>
  <c r="K52" i="8"/>
  <c r="K25" i="9" s="1"/>
  <c r="N85" i="1"/>
  <c r="N16" i="6" s="1"/>
  <c r="N10" i="7" s="1"/>
  <c r="N87" i="1"/>
  <c r="N17" i="6" s="1"/>
  <c r="N30" i="5"/>
  <c r="N6" i="6" s="1"/>
  <c r="N79" i="1"/>
  <c r="N13" i="6" s="1"/>
  <c r="M27" i="5"/>
  <c r="M77" i="1"/>
  <c r="M12" i="6" s="1"/>
  <c r="L77" i="1"/>
  <c r="L12" i="6" s="1"/>
  <c r="N21" i="5"/>
  <c r="N7" i="7" s="1"/>
  <c r="J194" i="1" l="1"/>
  <c r="J195" i="1" s="1"/>
  <c r="J29" i="9"/>
  <c r="J59" i="9"/>
  <c r="L202" i="1"/>
  <c r="L11" i="7" s="1"/>
  <c r="L12" i="7" s="1"/>
  <c r="L225" i="1"/>
  <c r="L29" i="7" s="1"/>
  <c r="L207" i="1"/>
  <c r="L15" i="7" s="1"/>
  <c r="L148" i="1"/>
  <c r="L28" i="8" s="1"/>
  <c r="K214" i="1"/>
  <c r="K20" i="7" s="1"/>
  <c r="L169" i="1"/>
  <c r="N8" i="7"/>
  <c r="M207" i="1"/>
  <c r="M15" i="7" s="1"/>
  <c r="M225" i="1"/>
  <c r="M29" i="7" s="1"/>
  <c r="M202" i="1"/>
  <c r="M11" i="7" s="1"/>
  <c r="M12" i="7" s="1"/>
  <c r="M18" i="7" s="1"/>
  <c r="J22" i="9"/>
  <c r="K23" i="8"/>
  <c r="M148" i="1"/>
  <c r="M28" i="8" s="1"/>
  <c r="M169" i="1"/>
  <c r="N154" i="1"/>
  <c r="M92" i="1"/>
  <c r="M20" i="6" s="1"/>
  <c r="M21" i="6" s="1"/>
  <c r="L92" i="1"/>
  <c r="L20" i="6" s="1"/>
  <c r="L21" i="6" s="1"/>
  <c r="L52" i="8" s="1"/>
  <c r="L25" i="9" s="1"/>
  <c r="M4" i="6"/>
  <c r="M33" i="6" s="1"/>
  <c r="L4" i="6"/>
  <c r="N27" i="5"/>
  <c r="N77" i="1"/>
  <c r="N12" i="6" s="1"/>
  <c r="J171" i="1" l="1"/>
  <c r="M194" i="1"/>
  <c r="M195" i="1" s="1"/>
  <c r="M29" i="9"/>
  <c r="M24" i="9"/>
  <c r="L24" i="9"/>
  <c r="L18" i="7"/>
  <c r="N202" i="1"/>
  <c r="N11" i="7" s="1"/>
  <c r="N12" i="7" s="1"/>
  <c r="N225" i="1"/>
  <c r="N29" i="7" s="1"/>
  <c r="N207" i="1"/>
  <c r="N15" i="7" s="1"/>
  <c r="J214" i="1"/>
  <c r="J20" i="7" s="1"/>
  <c r="K22" i="9"/>
  <c r="L23" i="8"/>
  <c r="M23" i="8" s="1"/>
  <c r="L33" i="6"/>
  <c r="N148" i="1"/>
  <c r="N28" i="8" s="1"/>
  <c r="N24" i="9" s="1"/>
  <c r="N169" i="1"/>
  <c r="M52" i="8"/>
  <c r="M25" i="9" s="1"/>
  <c r="N92" i="1"/>
  <c r="N20" i="6" s="1"/>
  <c r="N21" i="6" s="1"/>
  <c r="N4" i="6"/>
  <c r="N33" i="6" s="1"/>
  <c r="J58" i="8" l="1"/>
  <c r="M171" i="1"/>
  <c r="M58" i="8" s="1"/>
  <c r="N194" i="1"/>
  <c r="N195" i="1" s="1"/>
  <c r="N29" i="9"/>
  <c r="L194" i="1"/>
  <c r="L171" i="1" s="1"/>
  <c r="L58" i="8" s="1"/>
  <c r="L29" i="9"/>
  <c r="N18" i="7"/>
  <c r="D37" i="10" s="1"/>
  <c r="M214" i="1"/>
  <c r="M20" i="7" s="1"/>
  <c r="M22" i="9"/>
  <c r="L22" i="9"/>
  <c r="N52" i="8"/>
  <c r="N25" i="9" s="1"/>
  <c r="N23" i="8"/>
  <c r="F39" i="10" l="1"/>
  <c r="G39" i="10"/>
  <c r="E39" i="10"/>
  <c r="J59" i="8"/>
  <c r="K27" i="9"/>
  <c r="J27" i="9"/>
  <c r="J19" i="7" s="1"/>
  <c r="N171" i="1"/>
  <c r="N58" i="8" s="1"/>
  <c r="N27" i="9" s="1"/>
  <c r="L27" i="9"/>
  <c r="M27" i="9"/>
  <c r="L195" i="1"/>
  <c r="N214" i="1"/>
  <c r="N20" i="7" s="1"/>
  <c r="L214" i="1"/>
  <c r="L20" i="7" s="1"/>
  <c r="N22" i="9"/>
  <c r="K4" i="3"/>
  <c r="J33" i="2" l="1"/>
  <c r="J8" i="8" s="1"/>
  <c r="K29" i="2" l="1"/>
  <c r="J18" i="8"/>
  <c r="K12" i="3" l="1"/>
  <c r="K60" i="2" s="1"/>
  <c r="K30" i="2" l="1"/>
  <c r="K175" i="1" l="1"/>
  <c r="K7" i="3" s="1"/>
  <c r="K36" i="3" s="1"/>
  <c r="K56" i="2"/>
  <c r="K58" i="2" s="1"/>
  <c r="K61" i="2" s="1"/>
  <c r="K63" i="2" s="1"/>
  <c r="K37" i="9" s="1"/>
  <c r="K33" i="2"/>
  <c r="L29" i="2" s="1"/>
  <c r="L12" i="3" s="1"/>
  <c r="L60" i="2" s="1"/>
  <c r="K51" i="9" l="1"/>
  <c r="K8" i="3"/>
  <c r="K9" i="3" s="1"/>
  <c r="K11" i="3" s="1"/>
  <c r="K49" i="9" s="1"/>
  <c r="K191" i="1"/>
  <c r="K160" i="1" s="1"/>
  <c r="K8" i="8"/>
  <c r="L30" i="2"/>
  <c r="K16" i="3" l="1"/>
  <c r="K41" i="8" s="1"/>
  <c r="L4" i="3"/>
  <c r="K177" i="1"/>
  <c r="K18" i="3"/>
  <c r="K50" i="8" s="1"/>
  <c r="L175" i="1"/>
  <c r="L7" i="3" s="1"/>
  <c r="L36" i="3" s="1"/>
  <c r="L56" i="2"/>
  <c r="L58" i="2" s="1"/>
  <c r="L61" i="2" s="1"/>
  <c r="L63" i="2" s="1"/>
  <c r="L37" i="9" s="1"/>
  <c r="K158" i="1"/>
  <c r="K55" i="8" s="1"/>
  <c r="K59" i="8" s="1"/>
  <c r="K156" i="1"/>
  <c r="K43" i="8" s="1"/>
  <c r="K18" i="8"/>
  <c r="K42" i="3"/>
  <c r="K13" i="3"/>
  <c r="K26" i="6" s="1"/>
  <c r="K184" i="1"/>
  <c r="L33" i="2"/>
  <c r="M29" i="2" s="1"/>
  <c r="M12" i="3" s="1"/>
  <c r="M60" i="2" s="1"/>
  <c r="K26" i="9" l="1"/>
  <c r="K19" i="7" s="1"/>
  <c r="K14" i="9"/>
  <c r="K216" i="1"/>
  <c r="L8" i="3"/>
  <c r="L9" i="3" s="1"/>
  <c r="L11" i="3" s="1"/>
  <c r="L49" i="9" s="1"/>
  <c r="L51" i="9"/>
  <c r="L191" i="1"/>
  <c r="L160" i="1" s="1"/>
  <c r="K47" i="8"/>
  <c r="L8" i="8"/>
  <c r="L18" i="8" s="1"/>
  <c r="K38" i="3"/>
  <c r="K47" i="3" s="1"/>
  <c r="M30" i="2"/>
  <c r="L177" i="1" l="1"/>
  <c r="L184" i="1" s="1"/>
  <c r="L16" i="3"/>
  <c r="L41" i="8" s="1"/>
  <c r="M4" i="3"/>
  <c r="L13" i="3"/>
  <c r="L26" i="6" s="1"/>
  <c r="L14" i="9" s="1"/>
  <c r="K222" i="1"/>
  <c r="K27" i="7" s="1"/>
  <c r="K22" i="7"/>
  <c r="L42" i="3"/>
  <c r="L18" i="3"/>
  <c r="L50" i="8" s="1"/>
  <c r="M175" i="1"/>
  <c r="M7" i="3" s="1"/>
  <c r="M56" i="2"/>
  <c r="M58" i="2" s="1"/>
  <c r="M61" i="2" s="1"/>
  <c r="M63" i="2" s="1"/>
  <c r="M37" i="9" s="1"/>
  <c r="L156" i="1"/>
  <c r="L43" i="8" s="1"/>
  <c r="L158" i="1"/>
  <c r="L55" i="8" s="1"/>
  <c r="K50" i="3"/>
  <c r="L34" i="3"/>
  <c r="L38" i="3"/>
  <c r="M33" i="2"/>
  <c r="N29" i="2" s="1"/>
  <c r="N12" i="3" s="1"/>
  <c r="N60" i="2" s="1"/>
  <c r="M8" i="3" l="1"/>
  <c r="M9" i="3" s="1"/>
  <c r="M11" i="3" s="1"/>
  <c r="M49" i="9" s="1"/>
  <c r="L47" i="8"/>
  <c r="L26" i="9"/>
  <c r="L19" i="7" s="1"/>
  <c r="L216" i="1"/>
  <c r="M51" i="9"/>
  <c r="M36" i="3"/>
  <c r="L47" i="3"/>
  <c r="L50" i="3" s="1"/>
  <c r="L59" i="8"/>
  <c r="M191" i="1"/>
  <c r="M160" i="1" s="1"/>
  <c r="M42" i="3"/>
  <c r="M13" i="3"/>
  <c r="M26" i="6" s="1"/>
  <c r="M18" i="3"/>
  <c r="M50" i="8" s="1"/>
  <c r="N4" i="3"/>
  <c r="M177" i="1"/>
  <c r="M16" i="3"/>
  <c r="M41" i="8" s="1"/>
  <c r="M8" i="8"/>
  <c r="N30" i="2"/>
  <c r="M34" i="3" l="1"/>
  <c r="L222" i="1"/>
  <c r="L27" i="7" s="1"/>
  <c r="L22" i="7"/>
  <c r="L24" i="7" s="1"/>
  <c r="L25" i="7" s="1"/>
  <c r="M18" i="8"/>
  <c r="M158" i="1"/>
  <c r="M55" i="8" s="1"/>
  <c r="M59" i="8" s="1"/>
  <c r="M156" i="1"/>
  <c r="M43" i="8" s="1"/>
  <c r="N175" i="1"/>
  <c r="N7" i="3" s="1"/>
  <c r="N51" i="9" s="1"/>
  <c r="N56" i="2"/>
  <c r="N58" i="2" s="1"/>
  <c r="N61" i="2" s="1"/>
  <c r="N63" i="2" s="1"/>
  <c r="N37" i="9" s="1"/>
  <c r="M184" i="1"/>
  <c r="M38" i="3"/>
  <c r="M47" i="3" s="1"/>
  <c r="M14" i="9"/>
  <c r="N33" i="2"/>
  <c r="N8" i="8" s="1"/>
  <c r="J24" i="7"/>
  <c r="J25" i="7" s="1"/>
  <c r="K24" i="7"/>
  <c r="K25" i="7" s="1"/>
  <c r="K219" i="1" s="1"/>
  <c r="M216" i="1" l="1"/>
  <c r="M22" i="7" s="1"/>
  <c r="M47" i="8"/>
  <c r="M26" i="9"/>
  <c r="M19" i="7" s="1"/>
  <c r="N36" i="3"/>
  <c r="N191" i="1"/>
  <c r="N160" i="1" s="1"/>
  <c r="N8" i="3"/>
  <c r="N9" i="3" s="1"/>
  <c r="N11" i="3" s="1"/>
  <c r="N49" i="9" s="1"/>
  <c r="N34" i="3"/>
  <c r="M50" i="3"/>
  <c r="N18" i="8"/>
  <c r="K28" i="7"/>
  <c r="K31" i="7" s="1"/>
  <c r="L219" i="1"/>
  <c r="L28" i="7"/>
  <c r="L223" i="1" s="1"/>
  <c r="J219" i="1"/>
  <c r="J28" i="7"/>
  <c r="J223" i="1" s="1"/>
  <c r="K227" i="1" l="1"/>
  <c r="K33" i="7"/>
  <c r="K15" i="10" s="1"/>
  <c r="K17" i="10" s="1"/>
  <c r="M222" i="1"/>
  <c r="M27" i="7" s="1"/>
  <c r="N42" i="3"/>
  <c r="M24" i="7"/>
  <c r="M25" i="7" s="1"/>
  <c r="M219" i="1" s="1"/>
  <c r="N16" i="3"/>
  <c r="N41" i="8" s="1"/>
  <c r="N177" i="1"/>
  <c r="N184" i="1" s="1"/>
  <c r="N13" i="3"/>
  <c r="N18" i="3"/>
  <c r="N50" i="8" s="1"/>
  <c r="N158" i="1"/>
  <c r="N55" i="8" s="1"/>
  <c r="N156" i="1"/>
  <c r="N43" i="8" s="1"/>
  <c r="K223" i="1"/>
  <c r="J31" i="7"/>
  <c r="J33" i="7" s="1"/>
  <c r="J15" i="10" s="1"/>
  <c r="L31" i="7"/>
  <c r="L33" i="7" s="1"/>
  <c r="L15" i="10" s="1"/>
  <c r="L17" i="10" s="1"/>
  <c r="K5" i="4" l="1"/>
  <c r="K11" i="4" s="1"/>
  <c r="J17" i="10"/>
  <c r="N26" i="9"/>
  <c r="N19" i="7" s="1"/>
  <c r="N26" i="6"/>
  <c r="N14" i="9" s="1"/>
  <c r="N47" i="8"/>
  <c r="N216" i="1"/>
  <c r="N38" i="3"/>
  <c r="N47" i="3" s="1"/>
  <c r="N50" i="3" s="1"/>
  <c r="N59" i="8"/>
  <c r="M28" i="7"/>
  <c r="M31" i="7" s="1"/>
  <c r="M33" i="7" s="1"/>
  <c r="M15" i="10" s="1"/>
  <c r="M17" i="10" s="1"/>
  <c r="L5" i="4"/>
  <c r="L179" i="1" s="1"/>
  <c r="L227" i="1"/>
  <c r="J227" i="1"/>
  <c r="J5" i="4"/>
  <c r="J179" i="1" s="1"/>
  <c r="K179" i="1" l="1"/>
  <c r="K6" i="4"/>
  <c r="K54" i="9"/>
  <c r="K57" i="9" s="1"/>
  <c r="N222" i="1"/>
  <c r="N27" i="7" s="1"/>
  <c r="N22" i="7"/>
  <c r="N24" i="7" s="1"/>
  <c r="M223" i="1"/>
  <c r="M5" i="4"/>
  <c r="M179" i="1" s="1"/>
  <c r="M227" i="1"/>
  <c r="J11" i="4"/>
  <c r="J6" i="4"/>
  <c r="J54" i="9"/>
  <c r="J57" i="9" s="1"/>
  <c r="L54" i="9"/>
  <c r="L57" i="9" s="1"/>
  <c r="L11" i="4"/>
  <c r="L6" i="4"/>
  <c r="N25" i="7" l="1"/>
  <c r="N219" i="1" s="1"/>
  <c r="D48" i="10"/>
  <c r="M54" i="9"/>
  <c r="M57" i="9" s="1"/>
  <c r="M6" i="4"/>
  <c r="M11" i="4"/>
  <c r="N28" i="7" l="1"/>
  <c r="N223" i="1" s="1"/>
  <c r="F49" i="10"/>
  <c r="F50" i="10" s="1"/>
  <c r="G49" i="10"/>
  <c r="G50" i="10" s="1"/>
  <c r="E49" i="10"/>
  <c r="E50" i="10" s="1"/>
  <c r="N31" i="7" l="1"/>
  <c r="N227" i="1" l="1"/>
  <c r="N33" i="7"/>
  <c r="N15" i="10" l="1"/>
  <c r="N5" i="4"/>
  <c r="E68" i="10" l="1"/>
  <c r="D66" i="10"/>
  <c r="E69" i="10"/>
  <c r="C66" i="10"/>
  <c r="D69" i="10"/>
  <c r="C68" i="10"/>
  <c r="E65" i="10"/>
  <c r="F67" i="10"/>
  <c r="F68" i="10"/>
  <c r="D68" i="10"/>
  <c r="C69" i="10"/>
  <c r="G67" i="10"/>
  <c r="C65" i="10"/>
  <c r="G69" i="10"/>
  <c r="F65" i="10"/>
  <c r="D67" i="10"/>
  <c r="G66" i="10"/>
  <c r="E67" i="10"/>
  <c r="E66" i="10"/>
  <c r="G65" i="10"/>
  <c r="F66" i="10"/>
  <c r="D65" i="10"/>
  <c r="F69" i="10"/>
  <c r="C67" i="10"/>
  <c r="G68" i="10"/>
  <c r="N11" i="4"/>
  <c r="N54" i="9"/>
  <c r="N57" i="9" s="1"/>
  <c r="N6" i="4"/>
  <c r="N179" i="1"/>
  <c r="D21" i="10"/>
  <c r="D22" i="10" s="1"/>
  <c r="D23" i="10" s="1"/>
  <c r="N17" i="10"/>
  <c r="D18" i="10" s="1"/>
  <c r="E51" i="10" l="1"/>
  <c r="E52" i="10" s="1"/>
  <c r="E53" i="10" s="1"/>
  <c r="C58" i="10" s="1"/>
  <c r="F51" i="10"/>
  <c r="F52" i="10" s="1"/>
  <c r="F53" i="10" s="1"/>
  <c r="D58" i="10" s="1"/>
  <c r="F58" i="10" s="1"/>
  <c r="G51" i="10"/>
  <c r="G52" i="10" s="1"/>
  <c r="G53" i="10" s="1"/>
  <c r="E58" i="10" s="1"/>
  <c r="D24" i="10"/>
  <c r="D25" i="10" s="1"/>
  <c r="E60" i="10" l="1"/>
  <c r="D60" i="10"/>
  <c r="F60" i="10" s="1"/>
  <c r="C60" i="10"/>
  <c r="J22" i="8" l="1"/>
  <c r="K22" i="8"/>
  <c r="L22" i="8"/>
  <c r="M22" i="8"/>
  <c r="N22" i="8"/>
  <c r="J24" i="8"/>
  <c r="K24" i="8"/>
  <c r="L24" i="8"/>
  <c r="M24" i="8"/>
  <c r="N24" i="8"/>
  <c r="J29" i="8"/>
  <c r="K29" i="8"/>
  <c r="L29" i="8"/>
  <c r="M29" i="8"/>
  <c r="N29" i="8"/>
  <c r="J30" i="8"/>
  <c r="K30" i="8"/>
  <c r="L30" i="8"/>
  <c r="M30" i="8"/>
  <c r="N30" i="8"/>
  <c r="J35" i="8"/>
  <c r="K35" i="8"/>
  <c r="L35" i="8"/>
  <c r="M35" i="8"/>
  <c r="N35" i="8"/>
  <c r="J36" i="8"/>
  <c r="K36" i="8"/>
  <c r="L36" i="8"/>
  <c r="M36" i="8"/>
  <c r="N36" i="8"/>
  <c r="J60" i="8"/>
  <c r="K60" i="8"/>
  <c r="L60" i="8"/>
  <c r="M60" i="8"/>
  <c r="N60" i="8"/>
  <c r="J63" i="8"/>
  <c r="K63" i="8"/>
  <c r="L63" i="8"/>
  <c r="M63" i="8"/>
  <c r="N63" i="8"/>
  <c r="J64" i="8"/>
  <c r="K64" i="8"/>
  <c r="L64" i="8"/>
  <c r="M64" i="8"/>
  <c r="N64" i="8"/>
  <c r="J4" i="9"/>
  <c r="K4" i="9"/>
  <c r="L4" i="9"/>
  <c r="M4" i="9"/>
  <c r="N4" i="9"/>
  <c r="J15" i="9"/>
  <c r="K15" i="9"/>
  <c r="L15" i="9"/>
  <c r="M15" i="9"/>
  <c r="N15" i="9"/>
  <c r="J19" i="9"/>
  <c r="K19" i="9"/>
  <c r="L19" i="9"/>
  <c r="M19" i="9"/>
  <c r="N19" i="9"/>
  <c r="J28" i="9"/>
  <c r="K28" i="9"/>
  <c r="L28" i="9"/>
  <c r="M28" i="9"/>
  <c r="N28" i="9"/>
  <c r="J30" i="9"/>
  <c r="K30" i="9"/>
  <c r="L30" i="9"/>
  <c r="M30" i="9"/>
  <c r="N30" i="9"/>
  <c r="K34" i="9"/>
  <c r="L34" i="9"/>
  <c r="M34" i="9"/>
  <c r="N34" i="9"/>
  <c r="J35" i="9"/>
  <c r="K35" i="9"/>
  <c r="L35" i="9"/>
  <c r="M35" i="9"/>
  <c r="N35" i="9"/>
  <c r="J45" i="9"/>
  <c r="K45" i="9"/>
  <c r="L45" i="9"/>
  <c r="M45" i="9"/>
  <c r="N45" i="9"/>
  <c r="J46" i="9"/>
  <c r="K46" i="9"/>
  <c r="L46" i="9"/>
  <c r="M46" i="9"/>
  <c r="N46" i="9"/>
  <c r="J58" i="9"/>
  <c r="K58" i="9"/>
  <c r="L58" i="9"/>
  <c r="M58" i="9"/>
  <c r="N58" i="9"/>
  <c r="K59" i="9"/>
  <c r="L59" i="9"/>
  <c r="M59" i="9"/>
  <c r="N59" i="9"/>
  <c r="J61" i="9"/>
  <c r="K61" i="9"/>
  <c r="L61" i="9"/>
  <c r="M61" i="9"/>
  <c r="N61" i="9"/>
  <c r="J64" i="1"/>
  <c r="K64" i="1"/>
  <c r="L64" i="1"/>
  <c r="M64" i="1"/>
  <c r="N64" i="1"/>
  <c r="J178" i="1"/>
  <c r="K178" i="1"/>
  <c r="L178" i="1"/>
  <c r="M178" i="1"/>
  <c r="N178" i="1"/>
  <c r="J180" i="1"/>
  <c r="K180" i="1"/>
  <c r="L180" i="1"/>
  <c r="M180" i="1"/>
  <c r="N180" i="1"/>
  <c r="J212" i="1"/>
  <c r="K212" i="1"/>
  <c r="L212" i="1"/>
  <c r="M212" i="1"/>
  <c r="N212" i="1"/>
  <c r="K8" i="4"/>
  <c r="L8" i="4"/>
  <c r="M8" i="4"/>
  <c r="N8" i="4"/>
  <c r="J9" i="4"/>
  <c r="K9" i="4"/>
  <c r="L9" i="4"/>
  <c r="M9" i="4"/>
  <c r="N9" i="4"/>
  <c r="J14" i="4"/>
  <c r="K14" i="4"/>
  <c r="L14" i="4"/>
  <c r="M14" i="4"/>
  <c r="N14" i="4"/>
  <c r="J5" i="6"/>
  <c r="K5" i="6"/>
  <c r="L5" i="6"/>
  <c r="M5" i="6"/>
  <c r="N5" i="6"/>
  <c r="J7" i="6"/>
  <c r="K7" i="6"/>
  <c r="L7" i="6"/>
  <c r="M7" i="6"/>
  <c r="N7" i="6"/>
  <c r="J23" i="6"/>
  <c r="K23" i="6"/>
  <c r="L23" i="6"/>
  <c r="M23" i="6"/>
  <c r="N23" i="6"/>
  <c r="J24" i="6"/>
  <c r="K24" i="6"/>
  <c r="L24" i="6"/>
  <c r="M24" i="6"/>
  <c r="N24" i="6"/>
  <c r="J30" i="6"/>
  <c r="K30" i="6"/>
  <c r="L30" i="6"/>
  <c r="M30" i="6"/>
  <c r="N30" i="6"/>
  <c r="J32" i="6"/>
  <c r="K32" i="6"/>
  <c r="L32" i="6"/>
  <c r="M32" i="6"/>
  <c r="N32" i="6"/>
  <c r="J35" i="6"/>
  <c r="K35" i="6"/>
  <c r="L35" i="6"/>
  <c r="M35" i="6"/>
  <c r="N35" i="6"/>
  <c r="J40" i="6"/>
  <c r="K40" i="6"/>
  <c r="L40" i="6"/>
  <c r="M40" i="6"/>
  <c r="N40" i="6"/>
  <c r="J41" i="6"/>
  <c r="K41" i="6"/>
  <c r="L41" i="6"/>
  <c r="M41" i="6"/>
  <c r="N41" i="6"/>
  <c r="J29" i="5"/>
  <c r="K29" i="5"/>
  <c r="L29" i="5"/>
  <c r="M29" i="5"/>
  <c r="N29" i="5"/>
  <c r="J31" i="5"/>
  <c r="K31" i="5"/>
  <c r="L31" i="5"/>
  <c r="M31" i="5"/>
  <c r="N31" i="5"/>
  <c r="J29" i="10"/>
  <c r="K29" i="10"/>
  <c r="L29" i="10"/>
  <c r="M29" i="10"/>
  <c r="N29" i="10"/>
  <c r="J30" i="10"/>
  <c r="K30" i="10"/>
  <c r="L30" i="10"/>
  <c r="M30" i="10"/>
  <c r="N30" i="10"/>
  <c r="J31" i="10"/>
  <c r="K31" i="10"/>
  <c r="L31" i="10"/>
  <c r="M31" i="10"/>
  <c r="N31" i="10"/>
  <c r="D32" i="10"/>
  <c r="E40" i="10"/>
  <c r="F40" i="10"/>
  <c r="G40" i="10"/>
  <c r="E41" i="10"/>
  <c r="F41" i="10"/>
  <c r="G41" i="10"/>
  <c r="E42" i="10"/>
  <c r="F42" i="10"/>
  <c r="G42" i="10"/>
  <c r="E43" i="10"/>
  <c r="F43" i="10"/>
  <c r="G43" i="10"/>
  <c r="C57" i="10"/>
  <c r="D57" i="10"/>
  <c r="E57" i="10"/>
  <c r="F57" i="10"/>
  <c r="C59" i="10"/>
  <c r="D59" i="10"/>
  <c r="E59" i="10"/>
  <c r="F5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Shashwat Kakkar</author>
  </authors>
  <commentList>
    <comment ref="J7" authorId="0" shapeId="0" xr:uid="{2369C41D-F7B7-428C-95FD-04F70E3EE7CD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Based on Management's guidance of expected completion dates of under construction spaces.</t>
        </r>
      </text>
    </comment>
    <comment ref="M7" authorId="0" shapeId="0" xr:uid="{DC9BD72E-D4A7-4862-A297-CACF471D20D2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Based on a 3-year average due to lack of management's guidance.</t>
        </r>
      </text>
    </comment>
    <comment ref="J8" authorId="0" shapeId="0" xr:uid="{55847DCE-9EBF-4235-8C32-A9D3F5BAB426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Based on the time that the area will become available for lease assuming the expected completion dates hold and a 100% occupancy from the start.</t>
        </r>
      </text>
    </comment>
    <comment ref="J9" authorId="0" shapeId="0" xr:uid="{270A7986-1794-4030-A9FF-B5B64ACCE377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1% increase per year based on management's guidace of occupancy stabalizing at mid-90% over the coming years.</t>
        </r>
      </text>
    </comment>
    <comment ref="J16" authorId="0" shapeId="0" xr:uid="{C20F8453-D1DC-4E8F-A312-7F1FE6D8DB52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Based on Management's guidance and actual data that suggets a contractual escalation of 15% every 3 years. This implies that 1/3rd of leases escalating annually on a 3-year cycle.</t>
        </r>
      </text>
    </comment>
    <comment ref="J18" authorId="0" shapeId="0" xr:uid="{916C36D1-40CB-4422-B6B2-B0BD35B5364A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Based on C&amp;W's estimate of 5% annual growth in market rents for gateway Indian cities</t>
        </r>
      </text>
    </comment>
    <comment ref="J21" authorId="0" shapeId="0" xr:uid="{3C50FEC7-220E-4690-959E-A3ED1DEDE24B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Data from Q4FY2025 Supplementary Databook, page- 10.</t>
        </r>
      </text>
    </comment>
    <comment ref="K36" authorId="0" shapeId="0" xr:uid="{CF1E7F50-24F8-41DC-B31A-E3E316388CB7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Based on the expected completion date of Oct'2026 as per the Supplementary Databook, FY2025.</t>
        </r>
      </text>
    </comment>
    <comment ref="J39" authorId="0" shapeId="0" xr:uid="{1ECD4BE9-E66E-49F2-A0A6-72D03E07E612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1% increment per year.</t>
        </r>
      </text>
    </comment>
    <comment ref="J63" authorId="0" shapeId="0" xr:uid="{CCBE0866-874E-4807-B450-0645B7B47BB4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Data till FY2023 was inflated. FY2025 data is normalized. The 3% growth rate is a conservative assumption.</t>
        </r>
      </text>
    </comment>
    <comment ref="B73" authorId="0" shapeId="0" xr:uid="{312BCCEF-6192-4899-BEF4-DEEFBDFF503A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Relates to the hospitality services. Includes direct material cost primarily towards the provision of sale of F&amp;B at hotels.</t>
        </r>
      </text>
    </comment>
    <comment ref="J78" authorId="0" shapeId="0" xr:uid="{D97999DA-456C-41F4-A253-039252754E94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Reduction in % from FY2023 attributable to savings due to roof-top solar panel and reduction in tarrif.</t>
        </r>
      </text>
    </comment>
    <comment ref="J86" authorId="0" shapeId="0" xr:uid="{35548C3E-A038-4258-9548-E7176B4DF402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FY2025 reduction is a result of optimization and negotiations by the management.</t>
        </r>
      </text>
    </comment>
    <comment ref="J89" authorId="0" shapeId="0" xr:uid="{04E2094B-3B55-4186-B759-632109D58456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Contractually Fixed.</t>
        </r>
      </text>
    </comment>
    <comment ref="J121" authorId="0" shapeId="0" xr:uid="{C8A427D8-6DC1-4DA6-80EE-665411402F05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Increased figure due to the investment needed for Hilton Holels techVillage. Gradually decreasing to a steady state of 1,500 Mn. Judgement driven, no formulas.</t>
        </r>
      </text>
    </comment>
    <comment ref="J128" authorId="0" shapeId="0" xr:uid="{E3C486E8-66DA-4BDF-BDF1-537176D096AF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Based on contracted (in-place) rent escalations.</t>
        </r>
      </text>
    </comment>
    <comment ref="J133" authorId="0" shapeId="0" xr:uid="{553F7AD6-9163-4F10-9527-98AFA62952AC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As from September, 2024, the investments in debentures of Embassy GolfLinks was converted into an EMI schedule.</t>
        </r>
      </text>
    </comment>
    <comment ref="J136" authorId="0" shapeId="0" xr:uid="{8C7B031A-B6BA-4880-B01A-07D159053642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Holding Flat.</t>
        </r>
      </text>
    </comment>
    <comment ref="J176" authorId="0" shapeId="0" xr:uid="{5087C141-F98B-4104-90E2-28A9423230B9}">
      <text>
        <r>
          <rPr>
            <b/>
            <sz val="9"/>
            <color indexed="81"/>
            <rFont val="Calibri"/>
            <family val="2"/>
            <scheme val="minor"/>
          </rPr>
          <t>Shashwat Kakkar:</t>
        </r>
        <r>
          <rPr>
            <sz val="9"/>
            <color indexed="81"/>
            <rFont val="Calibri"/>
            <family val="2"/>
            <scheme val="minor"/>
          </rPr>
          <t xml:space="preserve"> New</t>
        </r>
        <r>
          <rPr>
            <b/>
            <sz val="9"/>
            <color indexed="81"/>
            <rFont val="Calibri"/>
            <family val="2"/>
            <scheme val="minor"/>
          </rPr>
          <t xml:space="preserve"> </t>
        </r>
        <r>
          <rPr>
            <sz val="9"/>
            <color indexed="81"/>
            <rFont val="Calibri"/>
            <family val="2"/>
            <scheme val="minor"/>
          </rPr>
          <t>Debt growth gradually slowing post the high activity period till FY2025. In line with management's stated policy of keeping debt at 30% - 35% of GAV, well below the cap of 49% by SEBI.</t>
        </r>
      </text>
    </comment>
    <comment ref="B182" authorId="0" shapeId="0" xr:uid="{E9B6EF3C-45E6-43E0-8FB1-B8BAFB2122A4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Includes all completed and under development projects.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Shashwat Kakkar</author>
  </authors>
  <commentList>
    <comment ref="J17" authorId="0" shapeId="0" xr:uid="{74836428-AF73-4FEE-825C-10674287ECD6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Capitalization to investment properties + 10% to account for additional additions not factored in by the given data.</t>
        </r>
      </text>
    </comment>
    <comment ref="J32" authorId="0" shapeId="0" xr:uid="{009607EB-9E44-465E-88F7-DC1B0A247624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Includes balance cost to be spent (INR 2265 Mn) on completed area of 1.9 msf of Block 8, Embassy TechVillage.</t>
        </r>
      </text>
    </comment>
    <comment ref="K32" authorId="0" shapeId="0" xr:uid="{AF454A76-EA52-43CB-A585-324D9F0727BA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Includes the expected cost of Hilton Hotels TechVillage based on Fy2023 data of INR 8760 Mn (16.9 Mn per room key).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Shashwat Kakkar</author>
  </authors>
  <commentList>
    <comment ref="J5" authorId="0" shapeId="0" xr:uid="{BF822CF8-25AD-41AF-9790-FAB3926EDF91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Based on the debt repayment schedule as on 31-Mar-2025 in the Supplementary Databook pg. 18.
https://eopwebsvr.blob.core.windows.net/media/filer_public/6d/a9/6da9d51a-6b32-443d-8b46-43ffcb1ac270/sd.pdf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Shashwat Kakkar</author>
  </authors>
  <commentList>
    <comment ref="J43" authorId="0" shapeId="0" xr:uid="{D7CD8CAE-AB3D-4A24-BEDC-224AF4875FB9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Sum of Non-Current Lease Deposits and Capital Creditors (Capex Payables)</t>
        </r>
      </text>
    </comment>
    <comment ref="J55" authorId="0" shapeId="0" xr:uid="{BD3E259D-0DCB-4338-A54A-6DA8F2A83115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Sum of Current Lease Deposits, Capital Creditors and Other Financial Liabilities.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Shashwat Kakkar</author>
  </authors>
  <commentList>
    <comment ref="B35" authorId="0" shapeId="0" xr:uid="{9D4FC81A-D35D-4056-A97A-50F28A9550E4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Historical (E-I): Investment in Debentures as per actual CFS.
Forecast (J-N): Cash sweep — surplus cash above ₹12,000 Mn is moved to liquid mutual fund investments.</t>
        </r>
      </text>
    </comment>
    <comment ref="B44" authorId="0" shapeId="0" xr:uid="{B01CBE04-B27E-474C-BBD8-937A86F2A5DF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Dividends Received from Embassy GolfLinks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Shashwat Kakkar</author>
  </authors>
  <commentList>
    <comment ref="J39" authorId="0" shapeId="0" xr:uid="{297142B8-2CE7-4EC8-AB4F-03784B564668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Assumption of 95% payout in base case as a margin for error.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Shashwat Kakkar</author>
  </authors>
  <commentList>
    <comment ref="D4" authorId="0" shapeId="0" xr:uid="{5304CDB8-19CC-4762-ABF0-F86A0A6F3A20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Yield on India's 10-year Treasury</t>
        </r>
      </text>
    </comment>
    <comment ref="D5" authorId="0" shapeId="0" xr:uid="{63B6F5C0-AA78-4257-A978-8AF225AE911B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Beta value from NSE's REIT &amp; Realty Index.
https://www.niftyindices.com/Factsheet/Factsheet_Nifty_REITs_and_Realty.pdf</t>
        </r>
      </text>
    </comment>
    <comment ref="D6" authorId="0" shapeId="0" xr:uid="{9A7B0E58-72C5-472B-97CC-0D2A7ABADAB3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Country Risk Premium (based on CDS spreads) extracted from Aswath Damodaran's Risk Premium Datasheet as on 1/April/2026. https://pages.stern.nyu.edu/~adamodar/</t>
        </r>
      </text>
    </comment>
    <comment ref="D7" authorId="0" shapeId="0" xr:uid="{55E93100-AAC5-4D61-8DE0-D7A6FD53B397}">
      <text>
        <r>
          <rPr>
            <b/>
            <sz val="9"/>
            <color indexed="81"/>
            <rFont val="Tahoma"/>
            <family val="2"/>
          </rPr>
          <t>Shashwat Kakkar:</t>
        </r>
        <r>
          <rPr>
            <sz val="9"/>
            <color indexed="81"/>
            <rFont val="Tahoma"/>
            <family val="2"/>
          </rPr>
          <t xml:space="preserve">
Equity Risk Premium (based on CDS spreads) extracted from Aswath Damodaran's Risk Premium Datasheet as on 1/April/2026. https://pages.stern.nyu.edu/~adamodar/</t>
        </r>
      </text>
    </comment>
  </commentList>
</comments>
</file>

<file path=xl/sharedStrings.xml><?xml version="1.0" encoding="utf-8"?>
<sst xmlns="http://schemas.openxmlformats.org/spreadsheetml/2006/main" count="910" uniqueCount="516">
  <si>
    <t>Revenue from Operations</t>
  </si>
  <si>
    <t>Interest Income</t>
  </si>
  <si>
    <t>Other Income</t>
  </si>
  <si>
    <t>Total Income</t>
  </si>
  <si>
    <t>Cost of Materials Consumed</t>
  </si>
  <si>
    <t>Employee Benefits Expense</t>
  </si>
  <si>
    <t>Operating and Maintenance Expenses</t>
  </si>
  <si>
    <t>Other Expenses</t>
  </si>
  <si>
    <t>Total Expenses</t>
  </si>
  <si>
    <t>EBITDA</t>
  </si>
  <si>
    <t>EBITDA Margin (%)</t>
  </si>
  <si>
    <t>Depreciation</t>
  </si>
  <si>
    <t>Impairment Loss/(Reversal)</t>
  </si>
  <si>
    <t>Current Tax</t>
  </si>
  <si>
    <t>Profit for the Year</t>
  </si>
  <si>
    <t>Historical</t>
  </si>
  <si>
    <t>Forecasted</t>
  </si>
  <si>
    <t>Valuation Expenses</t>
  </si>
  <si>
    <t>Insurance Expenses</t>
  </si>
  <si>
    <t>Investment Management Fees</t>
  </si>
  <si>
    <t>Trustee Fees</t>
  </si>
  <si>
    <t>Legal and Professional Fees</t>
  </si>
  <si>
    <t>Revenue</t>
  </si>
  <si>
    <t>Expenses</t>
  </si>
  <si>
    <t>Audit Fees</t>
  </si>
  <si>
    <t>INR Millions, unless otherwise stated</t>
  </si>
  <si>
    <t>Repairs and Maintenance</t>
  </si>
  <si>
    <t>Finance Cost (Net)</t>
  </si>
  <si>
    <t>Ammortization</t>
  </si>
  <si>
    <t>Impairment loss/(reversal) net of depreciation</t>
  </si>
  <si>
    <t>Profit before share of profit of equity accounted investee and tax</t>
  </si>
  <si>
    <t>Share of profit after tax of equity accounted investee</t>
  </si>
  <si>
    <t>Profit Before Tax</t>
  </si>
  <si>
    <t>Deferred Tax Charge/(Credit)</t>
  </si>
  <si>
    <t>Other Comprehensive Income:</t>
  </si>
  <si>
    <t>Gain/ (loss) on remeasurement of defined benefit liability</t>
  </si>
  <si>
    <t>Income Tax relating to items that will not be reclassified to profit or loss</t>
  </si>
  <si>
    <t>Total comprehensive income attributable to Unitholders for the year</t>
  </si>
  <si>
    <t>Earnings Per Unit (INR):</t>
  </si>
  <si>
    <t>Facility Rentals</t>
  </si>
  <si>
    <t>Income from Finance Leases</t>
  </si>
  <si>
    <t>Maintainence Services</t>
  </si>
  <si>
    <t>Room Rentals</t>
  </si>
  <si>
    <t>Sale of Food &amp; Beverages</t>
  </si>
  <si>
    <t>Income from Generation of Renewable Energy</t>
  </si>
  <si>
    <t>Ancillary Hospitality</t>
  </si>
  <si>
    <t>Total Revenue from Operations</t>
  </si>
  <si>
    <t>Leased Area</t>
  </si>
  <si>
    <t>-</t>
  </si>
  <si>
    <t>Units</t>
  </si>
  <si>
    <t>msf</t>
  </si>
  <si>
    <t>%</t>
  </si>
  <si>
    <t>Average Occupancy by Area</t>
  </si>
  <si>
    <t>Time Weigted Addition of New Development</t>
  </si>
  <si>
    <t>Estimated Addition of Development in Progress</t>
  </si>
  <si>
    <t>INR psf pm</t>
  </si>
  <si>
    <t>Average Market Rents</t>
  </si>
  <si>
    <t>Growth</t>
  </si>
  <si>
    <t>Total Commercial Completed Area</t>
  </si>
  <si>
    <t>Property Metrics</t>
  </si>
  <si>
    <t>Area Expiring</t>
  </si>
  <si>
    <t>In-Place Rent on Expiries</t>
  </si>
  <si>
    <t>MTM spread on Expiries</t>
  </si>
  <si>
    <t>Property metrics</t>
  </si>
  <si>
    <t>Revenue from Non-Expiring Area</t>
  </si>
  <si>
    <t>Market Rent Growth</t>
  </si>
  <si>
    <t>Revenue from New Area (Market Rent)</t>
  </si>
  <si>
    <t>Gross Facility Rentals</t>
  </si>
  <si>
    <t>Less: Embassy GolfLinks</t>
  </si>
  <si>
    <t>INR Mn</t>
  </si>
  <si>
    <t>Implied In-Place Rent (ex-GolfLinks)</t>
  </si>
  <si>
    <t>Embassy GolfLinks Occupancy</t>
  </si>
  <si>
    <t>Embassy GolfLinks In-Place Rent</t>
  </si>
  <si>
    <t>Total Rent Pool (incl-GolfLinks)</t>
  </si>
  <si>
    <t>GolfLinks Rent</t>
  </si>
  <si>
    <t>Rent Pool (ex-GolfLinks)</t>
  </si>
  <si>
    <t>Leased Area ex-GolfLinks</t>
  </si>
  <si>
    <t>Non-Expiring Area (ex-GL)</t>
  </si>
  <si>
    <t>Rent Growth (Contracted Escalations)</t>
  </si>
  <si>
    <t>Time-Weighted New Area Addition</t>
  </si>
  <si>
    <t>Blended In-Place Rents</t>
  </si>
  <si>
    <t>Average Implied In-Place Rent (ex-GolfLinks)</t>
  </si>
  <si>
    <t>Average Leased Area (ex-GolfLinks)</t>
  </si>
  <si>
    <t>Commercial Completed Area (ex-GolfLinks)</t>
  </si>
  <si>
    <t>% of Facility Rentals</t>
  </si>
  <si>
    <t>Lease Expiry Schedule (ex-GolfLinks Investment)</t>
  </si>
  <si>
    <t>per msf of completed area</t>
  </si>
  <si>
    <t>INR psf</t>
  </si>
  <si>
    <t>Solar Power Generation</t>
  </si>
  <si>
    <t>Capacity</t>
  </si>
  <si>
    <t>MW</t>
  </si>
  <si>
    <t>Solar Units Generated</t>
  </si>
  <si>
    <t>Mn Units</t>
  </si>
  <si>
    <t>Solar Units Consumed</t>
  </si>
  <si>
    <t>Consumption Rate</t>
  </si>
  <si>
    <t>Average Blended Tariff</t>
  </si>
  <si>
    <t>INR/unit</t>
  </si>
  <si>
    <t>Hotel Metrics</t>
  </si>
  <si>
    <t>Rooms Sold</t>
  </si>
  <si>
    <t>INR</t>
  </si>
  <si>
    <t>Completed Keys</t>
  </si>
  <si>
    <t>New Keys (U/C at Hilton TechVillage)</t>
  </si>
  <si>
    <t>Time Weighted New Keys</t>
  </si>
  <si>
    <t>Total Effective Keys</t>
  </si>
  <si>
    <t>Occupancy (Existing)</t>
  </si>
  <si>
    <t>Occupancy (New Hotel)</t>
  </si>
  <si>
    <t>#</t>
  </si>
  <si>
    <t>ADR (New Hotel)</t>
  </si>
  <si>
    <t>ADR (Existing)</t>
  </si>
  <si>
    <t>RevPAR (Existing)</t>
  </si>
  <si>
    <t>RevPAR (New)</t>
  </si>
  <si>
    <t>Growth Rate</t>
  </si>
  <si>
    <t>Available Rooms Nights (New)</t>
  </si>
  <si>
    <t>Available Rooms Nights (Existing)</t>
  </si>
  <si>
    <t>As a % of (Room Rentals + F&amp;B)</t>
  </si>
  <si>
    <t>Other Income (from operations)</t>
  </si>
  <si>
    <t>Average Non-Expiring Area (ex-GL)</t>
  </si>
  <si>
    <t>ASSETS</t>
  </si>
  <si>
    <t>Property, Plant &amp; Equipment</t>
  </si>
  <si>
    <t>Capital Work in Progress</t>
  </si>
  <si>
    <t>Investment Properties</t>
  </si>
  <si>
    <t>Investment Properties Under Development</t>
  </si>
  <si>
    <t>Goodwill</t>
  </si>
  <si>
    <t>Other Intangible Assets</t>
  </si>
  <si>
    <t>Investments Accounted for Using the Equity Method</t>
  </si>
  <si>
    <t>Financial Assets:</t>
  </si>
  <si>
    <t>Investments</t>
  </si>
  <si>
    <t>Other Financial Assets</t>
  </si>
  <si>
    <t>Deferred Tax Assets (Net)</t>
  </si>
  <si>
    <t>Non-Current Tax Assets (Net)</t>
  </si>
  <si>
    <t>Other Non-Current Assets</t>
  </si>
  <si>
    <t>Total Non-Current Assets</t>
  </si>
  <si>
    <t>Inventories</t>
  </si>
  <si>
    <t>Trade Receivables</t>
  </si>
  <si>
    <t>Cash &amp; Cash Equivalents</t>
  </si>
  <si>
    <t>Other Bank Balances</t>
  </si>
  <si>
    <t>Other Current Assets</t>
  </si>
  <si>
    <t>Total Current Assets</t>
  </si>
  <si>
    <t>Current Tax Assets</t>
  </si>
  <si>
    <t>TOTAL ASSETS</t>
  </si>
  <si>
    <t>EQUITY &amp; LIABILITIES</t>
  </si>
  <si>
    <t>EQUITY</t>
  </si>
  <si>
    <t xml:space="preserve">Unit Capital </t>
  </si>
  <si>
    <t>Other Equity</t>
  </si>
  <si>
    <t>TOTAL EQUITY</t>
  </si>
  <si>
    <t>LIABILITIES</t>
  </si>
  <si>
    <t>Financial Liabilities:</t>
  </si>
  <si>
    <t>Borrowings</t>
  </si>
  <si>
    <t>Lease Liabilities</t>
  </si>
  <si>
    <t>Other Financial Liabilties</t>
  </si>
  <si>
    <t>Provisions</t>
  </si>
  <si>
    <t>Deferrred Tax Liabilities (Net)</t>
  </si>
  <si>
    <t>Other Non-Current Liabilities</t>
  </si>
  <si>
    <t>Trade Payables</t>
  </si>
  <si>
    <t>Total Outstanding Dues of Micro &amp; Small Enterprises</t>
  </si>
  <si>
    <t>Total Outstanding Dues of Creditors Other than Micro &amp; Small Enterprises</t>
  </si>
  <si>
    <t>Other Current Liabilities</t>
  </si>
  <si>
    <t>Current Tax Liabilities (Net)</t>
  </si>
  <si>
    <t>Total Current Liabilities</t>
  </si>
  <si>
    <t>TOTAL EQUITY &amp; LIABILITIES</t>
  </si>
  <si>
    <t>Non-Current Assets:</t>
  </si>
  <si>
    <t>Current Assets:</t>
  </si>
  <si>
    <t>Non-Current Liabilities:</t>
  </si>
  <si>
    <t>Current Liabilities:</t>
  </si>
  <si>
    <t>Balance Check -&gt;</t>
  </si>
  <si>
    <t>Total Non-Current Liabilities</t>
  </si>
  <si>
    <t>Other Metrics</t>
  </si>
  <si>
    <t>As a % of Sale of F&amp;B</t>
  </si>
  <si>
    <t>Per sqf of completed area (ex-GL)</t>
  </si>
  <si>
    <t>Maintenance Services</t>
  </si>
  <si>
    <t xml:space="preserve">As a % of Income from Maintenance Services </t>
  </si>
  <si>
    <t>As a % of Facility Rentals</t>
  </si>
  <si>
    <t>As a % of Revenue from Operations</t>
  </si>
  <si>
    <t>Opening Gross Debt</t>
  </si>
  <si>
    <t>Add: New Debt Drawdowns</t>
  </si>
  <si>
    <t>Closing Gross Debt</t>
  </si>
  <si>
    <t>Average Gross Debt</t>
  </si>
  <si>
    <t>Weighted Average Interest Rate</t>
  </si>
  <si>
    <t>Gross Interest Expense</t>
  </si>
  <si>
    <t>Opening Balance</t>
  </si>
  <si>
    <t>Closing Balance</t>
  </si>
  <si>
    <t>Debt Metrics</t>
  </si>
  <si>
    <t>New Debt Drawdowns:</t>
  </si>
  <si>
    <t xml:space="preserve">CAPEX </t>
  </si>
  <si>
    <t>Closing Debt Balance</t>
  </si>
  <si>
    <t>GAV</t>
  </si>
  <si>
    <t>Growth in GAV</t>
  </si>
  <si>
    <t>Net Debt</t>
  </si>
  <si>
    <t>Gross Debt to GAV</t>
  </si>
  <si>
    <t>Balance Sheet Assumptions</t>
  </si>
  <si>
    <t>Average GAV</t>
  </si>
  <si>
    <t>Inventory (Days of COMC)</t>
  </si>
  <si>
    <t>Trade Receivables (Days of Sales)</t>
  </si>
  <si>
    <t>Days</t>
  </si>
  <si>
    <t>Total Trade Payables (Days of Total Expenses)</t>
  </si>
  <si>
    <t>Less: Distributions</t>
  </si>
  <si>
    <t>Less: Cash &amp; Cash Equivalents</t>
  </si>
  <si>
    <t>Total Trade Payables:</t>
  </si>
  <si>
    <t>Additions</t>
  </si>
  <si>
    <t>Disposals</t>
  </si>
  <si>
    <t>Gross Block (Opening Balance)</t>
  </si>
  <si>
    <t>Depreciation Opening Balance</t>
  </si>
  <si>
    <t>Accumulated Depreciation &amp; Impairment</t>
  </si>
  <si>
    <t>PP&amp;E Additions</t>
  </si>
  <si>
    <t>&lt;- Asset Schedule</t>
  </si>
  <si>
    <t>&lt;- D&amp;A</t>
  </si>
  <si>
    <t>Asset Acquisition</t>
  </si>
  <si>
    <t>Carrying Value (Net Block)</t>
  </si>
  <si>
    <t>Depreciation for the Year</t>
  </si>
  <si>
    <t>Additions to IPUD</t>
  </si>
  <si>
    <t>Acquisitions</t>
  </si>
  <si>
    <t>Capitalization to Investment Properties</t>
  </si>
  <si>
    <t>Investment Properties Under Development (IPUD)</t>
  </si>
  <si>
    <t>Investment Properties (IP)</t>
  </si>
  <si>
    <t>Investment Properties Addition</t>
  </si>
  <si>
    <t>Investment Properties Under Development Additions</t>
  </si>
  <si>
    <t>As a % of Opening IPUD</t>
  </si>
  <si>
    <t>PP&amp;E Depreciation for the Year</t>
  </si>
  <si>
    <t>IP Depreciation for the Year</t>
  </si>
  <si>
    <t>Borrowing Cost Capitalized</t>
  </si>
  <si>
    <t>Less: Borrowing Cost Capitalized</t>
  </si>
  <si>
    <t>Net Interest Cost</t>
  </si>
  <si>
    <t>As a % of Opening Gross IP</t>
  </si>
  <si>
    <t>As a % of Opening Gross Block</t>
  </si>
  <si>
    <t>INR Mn, unless othervise stated.</t>
  </si>
  <si>
    <t>Asset Assumptions</t>
  </si>
  <si>
    <t>Total Balance Cost to be Spent</t>
  </si>
  <si>
    <t>Under Development Area</t>
  </si>
  <si>
    <t>Balance Cost to be Spent (ex-Hotels)</t>
  </si>
  <si>
    <t>Balance Cost to be spent (Hotels)</t>
  </si>
  <si>
    <t>Under Development Keys</t>
  </si>
  <si>
    <t>Implied Development Cost</t>
  </si>
  <si>
    <t>Implied Development Cost per Key</t>
  </si>
  <si>
    <t>Maintenance CAPEX &amp; Refurbishments (Over 3 Years)</t>
  </si>
  <si>
    <t>Implied Annual Maintenance Capex</t>
  </si>
  <si>
    <t>Balance Cost to be Spent (Completed Area)</t>
  </si>
  <si>
    <t>INR Mn/Key</t>
  </si>
  <si>
    <t>Capital WIP</t>
  </si>
  <si>
    <t>Non-Current Financial Investments</t>
  </si>
  <si>
    <t>Non-Current Other Financial Assets</t>
  </si>
  <si>
    <t>Ammortization Opening Balance</t>
  </si>
  <si>
    <t>Ammortization for the Year</t>
  </si>
  <si>
    <t>Impairment Loss for the Year</t>
  </si>
  <si>
    <t>Accumulated Ammortization</t>
  </si>
  <si>
    <t>Additions due to Business Combination</t>
  </si>
  <si>
    <t>Other Intangible Assets Ammortization for the Year</t>
  </si>
  <si>
    <t>As a % of Opening Other Intangible Assets</t>
  </si>
  <si>
    <t>Equity Method Accounted Investee</t>
  </si>
  <si>
    <t>Share of Profits</t>
  </si>
  <si>
    <t>Dividends Received</t>
  </si>
  <si>
    <t>Dividends Received from GolfLinks</t>
  </si>
  <si>
    <t>Dividends</t>
  </si>
  <si>
    <t>Other Adjustments</t>
  </si>
  <si>
    <t>Carrying Value (Closing Balance)</t>
  </si>
  <si>
    <t>&lt;-D&amp;A</t>
  </si>
  <si>
    <t>Expected Development Cost after a markup of</t>
  </si>
  <si>
    <t>Current Financial Investments</t>
  </si>
  <si>
    <t>Investment in NCD</t>
  </si>
  <si>
    <t>Investment in Liquid Funds</t>
  </si>
  <si>
    <t>Growth (Return)</t>
  </si>
  <si>
    <t>Other Current Financial Assets</t>
  </si>
  <si>
    <t>Revenue from MTM Re-leasing Spread</t>
  </si>
  <si>
    <t>Non-Current Borrowings</t>
  </si>
  <si>
    <t>As a % of total borrowings</t>
  </si>
  <si>
    <t>Current Borrowings</t>
  </si>
  <si>
    <t>Debt Maturity</t>
  </si>
  <si>
    <t>Debt Summary</t>
  </si>
  <si>
    <t>Lease Liability</t>
  </si>
  <si>
    <t xml:space="preserve">Interest on Lease Liabilities at: </t>
  </si>
  <si>
    <t>Lease Payments</t>
  </si>
  <si>
    <t>Closing Lease Liability</t>
  </si>
  <si>
    <t>Opening Lease Liability</t>
  </si>
  <si>
    <t>Non-Current Lease Liabilities</t>
  </si>
  <si>
    <t>As a % of Closing Lease Liability</t>
  </si>
  <si>
    <t>Current Lease Liabilities</t>
  </si>
  <si>
    <t>Non-Current Lease Deposits</t>
  </si>
  <si>
    <t>As a % of Total Lease Deposits</t>
  </si>
  <si>
    <t>Current Lease Deposits</t>
  </si>
  <si>
    <t>Total Lease Deposits</t>
  </si>
  <si>
    <t>Non-Current Capital Creditors</t>
  </si>
  <si>
    <t>As a % of Total Capital Creditors</t>
  </si>
  <si>
    <t>Current Capital Creditors</t>
  </si>
  <si>
    <t>Total Capital Creditors</t>
  </si>
  <si>
    <t>As a % of Capex</t>
  </si>
  <si>
    <t>&lt;- Debt Schedule</t>
  </si>
  <si>
    <t>Deferred Lease Rentals</t>
  </si>
  <si>
    <t>Total ONCL</t>
  </si>
  <si>
    <t>Other Current Financial Liabilities</t>
  </si>
  <si>
    <t>Opening Other Equity</t>
  </si>
  <si>
    <t>Distributions to Unitholders</t>
  </si>
  <si>
    <t>OCI</t>
  </si>
  <si>
    <t>Closing Other Equity</t>
  </si>
  <si>
    <t>Total Units (in Million)</t>
  </si>
  <si>
    <t>Total Distributions</t>
  </si>
  <si>
    <t>Transfer to DRR</t>
  </si>
  <si>
    <t>Transfer from Retained Earnings</t>
  </si>
  <si>
    <t>Distribution per Unit (DPU, in INR)</t>
  </si>
  <si>
    <t>&lt;- Equity Schedule</t>
  </si>
  <si>
    <t>Profit Before Share of Profit of Equity Accounted Investee &amp; Tax</t>
  </si>
  <si>
    <t>Adjustments to Reconcile PBT to Net Cash Flows:</t>
  </si>
  <si>
    <t>Depreciation Expense</t>
  </si>
  <si>
    <t>Ammortization Expense</t>
  </si>
  <si>
    <t>Allowance for Credit Loss</t>
  </si>
  <si>
    <t>Liabilities No Longer Required, Written Back</t>
  </si>
  <si>
    <t>Profit on Sale of Mutual Funds</t>
  </si>
  <si>
    <t>Finance Costs</t>
  </si>
  <si>
    <t>Fair Value Loss/(Gain) on Investment Measured at FVTPL</t>
  </si>
  <si>
    <t>Impairment Loss Recognised</t>
  </si>
  <si>
    <t>Operating Profit Before Working Capital Changes</t>
  </si>
  <si>
    <t>Working Capital Adjustments:</t>
  </si>
  <si>
    <t>Other Financial Assets (Current &amp; Non-Current)</t>
  </si>
  <si>
    <t>Other Assets (Current &amp; Non-Current)</t>
  </si>
  <si>
    <t>Other Financial Liabilities (Current &amp; Non-Current)</t>
  </si>
  <si>
    <t>Other Liabilities &amp; Provisions (Current &amp; Non-Current)</t>
  </si>
  <si>
    <t>Cash Generated from Operating Activities Before Taxes</t>
  </si>
  <si>
    <t>Taxes (Paid)/Refund Received (Net)</t>
  </si>
  <si>
    <t>Cash Generated from Operating Activities</t>
  </si>
  <si>
    <t>(Investments)/Redemption of Deposits with Banks (Net)</t>
  </si>
  <si>
    <t>(Investments)/Redemption in Mutual Funds (Net)</t>
  </si>
  <si>
    <t>Payment for Purchase of IP, PP&amp;E, CWIP &amp; IPUD</t>
  </si>
  <si>
    <t>Payment for Acquisition of ETV Business</t>
  </si>
  <si>
    <t>Payment for Acquisition of CAM Business in EOPPL &amp; MPPL</t>
  </si>
  <si>
    <t>Interest Received</t>
  </si>
  <si>
    <t>Cash Flow From Investing Activities:</t>
  </si>
  <si>
    <t>Cash Flow from Operating Activities:</t>
  </si>
  <si>
    <t>Net Cash Flow (Used In) Investing Activities</t>
  </si>
  <si>
    <t>Cash Flow From Financing Activities:</t>
  </si>
  <si>
    <t>Interest Paid</t>
  </si>
  <si>
    <t>Repayment of Borrowings</t>
  </si>
  <si>
    <t>Proceeds From Borrowings (Net of Issue Expense)</t>
  </si>
  <si>
    <t>Proceeds From Issue of Units</t>
  </si>
  <si>
    <t>Transaction Cost Related to Issue of Units</t>
  </si>
  <si>
    <t>Cash Used in Distributions to Unitholders</t>
  </si>
  <si>
    <t>Payment of Lease Liabilities</t>
  </si>
  <si>
    <t>Security Deposits Received</t>
  </si>
  <si>
    <t>Net Cash (Used In)/Generated from Financing Activities</t>
  </si>
  <si>
    <t>Net Increase/(Decrease) in Cash &amp; Cash Equivalents</t>
  </si>
  <si>
    <t>Cash &amp; Cash Equivalents at the Beginning of the Year</t>
  </si>
  <si>
    <t>Cash &amp; Cash Equivalents at the End of the Year</t>
  </si>
  <si>
    <t>Assets and Other Balances Written Off</t>
  </si>
  <si>
    <t>Payment of Contingent Consideration</t>
  </si>
  <si>
    <t>Payment for Acquisition of ECPL (Incl. Transaction Cost)</t>
  </si>
  <si>
    <t>Bad Debts Written Off</t>
  </si>
  <si>
    <t>Net Changes in Fair Value of Financial Instruments</t>
  </si>
  <si>
    <t>(Gain)/Loss on Sale of PP&amp;E and IP (Net)</t>
  </si>
  <si>
    <t>Redemption of Debentures</t>
  </si>
  <si>
    <t>Payment for Acquisition of ESNP (Incl. Transaction Cost)</t>
  </si>
  <si>
    <t>Current Tax Paid</t>
  </si>
  <si>
    <t>As a % of PBT</t>
  </si>
  <si>
    <t>Cash Flow Assumptions</t>
  </si>
  <si>
    <t>Taxes Paid</t>
  </si>
  <si>
    <t>As a % of Current Tax</t>
  </si>
  <si>
    <t>Cash &amp; Cash Equivalents Acquired due to Asset Acquisition</t>
  </si>
  <si>
    <t>&lt;- P&amp;L</t>
  </si>
  <si>
    <t>&lt;-P&amp;L</t>
  </si>
  <si>
    <t>&lt;- BS</t>
  </si>
  <si>
    <t>Changes in Liabilities Arising from Financing Activities</t>
  </si>
  <si>
    <t>Cashflows:</t>
  </si>
  <si>
    <t>Opening Financial Liabilities</t>
  </si>
  <si>
    <t xml:space="preserve">Proceeds from Borrowings </t>
  </si>
  <si>
    <t>Lease Liabilities Payments</t>
  </si>
  <si>
    <t>Non-Cash Adjustments:</t>
  </si>
  <si>
    <t>Non-Cash Adjustments</t>
  </si>
  <si>
    <t>Finance Cost (incl. Capitalized Interest)</t>
  </si>
  <si>
    <t>Assets Acquired Under Operating Leases</t>
  </si>
  <si>
    <t>Quadron &amp; REIT NCD Unpaid Issue Expense</t>
  </si>
  <si>
    <t>Closing Financial Liability</t>
  </si>
  <si>
    <t>Acquired Under Asset Acquisition/Business Combination</t>
  </si>
  <si>
    <t>Acquired Under Acquisition</t>
  </si>
  <si>
    <t>&lt;- This represents Borrowings (current &amp; non-current) + Lease liabilities (current &amp; non-current)</t>
  </si>
  <si>
    <t>Less: Current Lease Liabilities</t>
  </si>
  <si>
    <t>Less: Non-current Lease Liabilities</t>
  </si>
  <si>
    <t>Total Borrowings (Current &amp; Non-current)</t>
  </si>
  <si>
    <t>Scheduled Debt Repayments</t>
  </si>
  <si>
    <t>Expected Debt Refinance</t>
  </si>
  <si>
    <t>SPV Level</t>
  </si>
  <si>
    <t>Income from Hotels</t>
  </si>
  <si>
    <t>Maintenance Services and Other Operating Income</t>
  </si>
  <si>
    <t>Revenue From Operations</t>
  </si>
  <si>
    <t>Property Taxes</t>
  </si>
  <si>
    <t>Insurance</t>
  </si>
  <si>
    <t>Direct Operating Expenses</t>
  </si>
  <si>
    <t>Net Operating Income (NOI)</t>
  </si>
  <si>
    <t>Property Management Fees</t>
  </si>
  <si>
    <t>Repairs to Buildings</t>
  </si>
  <si>
    <t>Other Indirect Operating Expenses</t>
  </si>
  <si>
    <t>Dividends From Embassy GolfLinks</t>
  </si>
  <si>
    <t>Working Capital Changes</t>
  </si>
  <si>
    <t>Cash Taxes, Net of Refunds</t>
  </si>
  <si>
    <t>Principal Repayment on External Debt</t>
  </si>
  <si>
    <t>Interest on External Debt</t>
  </si>
  <si>
    <t>NDCF (SPV Level)</t>
  </si>
  <si>
    <t>Distributions from SPVs to Trust</t>
  </si>
  <si>
    <t>Distributions from Embassy GolfLinks</t>
  </si>
  <si>
    <t>REIT Management Fees</t>
  </si>
  <si>
    <t>Trust Level Expenses, Net of Income</t>
  </si>
  <si>
    <t>NDCF (REIT Level)</t>
  </si>
  <si>
    <t>Distribution from Embassy REIT</t>
  </si>
  <si>
    <t xml:space="preserve">Interest </t>
  </si>
  <si>
    <t>Dividend</t>
  </si>
  <si>
    <t>Proceeds from Ammortization of SPV Level Debt</t>
  </si>
  <si>
    <t>Repayment of Debt</t>
  </si>
  <si>
    <t>NOI &amp; NDCF Assumptions</t>
  </si>
  <si>
    <t>Dividends from Embassy GolfLinks</t>
  </si>
  <si>
    <t>Principal Payment on External Debt</t>
  </si>
  <si>
    <t>As a % of Embassy Distributions</t>
  </si>
  <si>
    <t>Interest on External Debt (REIT Level)</t>
  </si>
  <si>
    <t>Interest on External Debt (SPV Level)</t>
  </si>
  <si>
    <t>As a % of SPV Level NDCF</t>
  </si>
  <si>
    <t>As a % of Revenue</t>
  </si>
  <si>
    <t>As a % of Net Interest Cost</t>
  </si>
  <si>
    <t>As a % of Total Assets</t>
  </si>
  <si>
    <t>AS a % of Additions to PP&amp;E, IP and IPUD</t>
  </si>
  <si>
    <t>Capex Schedule</t>
  </si>
  <si>
    <t>Gross Sum</t>
  </si>
  <si>
    <t>Less: IPUD Capitalized to IP</t>
  </si>
  <si>
    <t>Less: Capitalized Interest</t>
  </si>
  <si>
    <t>Net Cash Capex</t>
  </si>
  <si>
    <t>CF Capex</t>
  </si>
  <si>
    <t>IP Additions &amp; Acquisitions</t>
  </si>
  <si>
    <t>IPUD Additions &amp; Acquisitions</t>
  </si>
  <si>
    <t>Intangible Additions &amp; Acquisitions</t>
  </si>
  <si>
    <t>Capex (IP, IPUD, PP&amp;E, CWIP &amp; Intangibles)</t>
  </si>
  <si>
    <t>Increase/(Decrease) in CWIP</t>
  </si>
  <si>
    <t>As a % of Ending Cash &amp; Cash Equivalents</t>
  </si>
  <si>
    <t>Sale per Room Sold</t>
  </si>
  <si>
    <t>Sale Proceeds from Sale of PP&amp;E and IP (Net of Depriciation)</t>
  </si>
  <si>
    <t>&lt;- CFS</t>
  </si>
  <si>
    <t>&lt;- D&amp;A + P&amp;L</t>
  </si>
  <si>
    <t>&lt;- D&amp;A + P&amp;L + BS</t>
  </si>
  <si>
    <t>As a % of NDCF (REIT Level)</t>
  </si>
  <si>
    <t>Investment in Debentures / Cash Sweep to Liquid Investments</t>
  </si>
  <si>
    <t>Units Outstanding (Mn)</t>
  </si>
  <si>
    <t>Discount Factor</t>
  </si>
  <si>
    <t>PV of Distributions</t>
  </si>
  <si>
    <t>Low</t>
  </si>
  <si>
    <t>Mid</t>
  </si>
  <si>
    <t>High</t>
  </si>
  <si>
    <t>Key Assumptions</t>
  </si>
  <si>
    <t>Risk Free Rate (Rf)</t>
  </si>
  <si>
    <t>Beta</t>
  </si>
  <si>
    <t>Cost of Equity (CAPM Model)</t>
  </si>
  <si>
    <t>Terminal Growth Rate (TGR)</t>
  </si>
  <si>
    <t>Current Market Price (CMP)</t>
  </si>
  <si>
    <t>Latest Valuation Date</t>
  </si>
  <si>
    <t>DDM Valuation</t>
  </si>
  <si>
    <t>Sum of PV of Distributions</t>
  </si>
  <si>
    <t>PV of Terminal Value</t>
  </si>
  <si>
    <t>Gross Asset Value (GAV)</t>
  </si>
  <si>
    <t>Net Asset Value (NAV)</t>
  </si>
  <si>
    <t>EBITDA (FY2030)</t>
  </si>
  <si>
    <t>Implied Enterprise Value (TV @ 2030)</t>
  </si>
  <si>
    <t>Less: Net Debt (FY2030)</t>
  </si>
  <si>
    <t>Implied Equity Value @ 2030</t>
  </si>
  <si>
    <t>Implied Equity Value (TV @ 2030)</t>
  </si>
  <si>
    <t>Total Equity Value</t>
  </si>
  <si>
    <t>Low (INR)</t>
  </si>
  <si>
    <t>Mid (INR)</t>
  </si>
  <si>
    <t>High (INR)</t>
  </si>
  <si>
    <t>Upside to CMP</t>
  </si>
  <si>
    <t>Add: PV of Explicit Distributions</t>
  </si>
  <si>
    <t>Terminal Value (2030)</t>
  </si>
  <si>
    <t>Equity Value</t>
  </si>
  <si>
    <t>Exit EV/EBITDA Multiple</t>
  </si>
  <si>
    <t>Current EV/EBITDA Multiple</t>
  </si>
  <si>
    <t>EV/EBITDA Multiple</t>
  </si>
  <si>
    <t>PV of Terminal Value &amp; Distributions</t>
  </si>
  <si>
    <t>Value per Unit (EV/EBITDA)</t>
  </si>
  <si>
    <t>P/NDCF</t>
  </si>
  <si>
    <t>P/NDCF Multiple</t>
  </si>
  <si>
    <t>Exit P/NDCF Multiple, Low / Mid / High</t>
  </si>
  <si>
    <t>NDCF SPV Level (FY2030)</t>
  </si>
  <si>
    <t>Less: Net Debt</t>
  </si>
  <si>
    <t>Expected 2031 Distribution</t>
  </si>
  <si>
    <t>Value per Unit (P/NDCF)</t>
  </si>
  <si>
    <t>Value per Unit (NAV)</t>
  </si>
  <si>
    <t>NAV per Unit</t>
  </si>
  <si>
    <t>Equity Risk Premium</t>
  </si>
  <si>
    <t>India CRP</t>
  </si>
  <si>
    <t>Financial Model of Embassy Business Parks REIT</t>
  </si>
  <si>
    <t>Note: This model is for educational purposes only and is not to be construed as investment advise of any kind.</t>
  </si>
  <si>
    <t>The model has the following tabs:</t>
  </si>
  <si>
    <t>Data &amp; Assumptions</t>
  </si>
  <si>
    <t xml:space="preserve">Revenue Schedule </t>
  </si>
  <si>
    <t>Asset Schedule</t>
  </si>
  <si>
    <t>Debt Schedule</t>
  </si>
  <si>
    <t>Equity Schedule</t>
  </si>
  <si>
    <t>P&amp;L</t>
  </si>
  <si>
    <t>BS</t>
  </si>
  <si>
    <t>CF</t>
  </si>
  <si>
    <t>NOI &amp; NDCF</t>
  </si>
  <si>
    <t>Valuation</t>
  </si>
  <si>
    <t>&lt;- Holds the operational and financial data for historical years and their future interpolation</t>
  </si>
  <si>
    <t>&lt;- Details of major asset classes such as PP&amp;E, Investment Properties, etc., along with their depriciation and ammortization</t>
  </si>
  <si>
    <t>&lt;- Lists the historical and expected borrowings (current and non-current) including approximate repayments and additions</t>
  </si>
  <si>
    <t>&lt;- Equity related data for Embassy</t>
  </si>
  <si>
    <t>&lt;- A walkdown of the SPV level and REIT level NOI and NDCF</t>
  </si>
  <si>
    <t>&lt;- Houses various valuation methodologies for Embassy REIT</t>
  </si>
  <si>
    <t>www.obsidian-capital-research.com</t>
  </si>
  <si>
    <t>The accompanying research report based on this model can be found on:</t>
  </si>
  <si>
    <r>
      <rPr>
        <i/>
        <u/>
        <sz val="12"/>
        <color theme="1"/>
        <rFont val="Calibri"/>
        <family val="2"/>
        <scheme val="minor"/>
      </rPr>
      <t>Disclosure:</t>
    </r>
    <r>
      <rPr>
        <sz val="12"/>
        <color theme="1"/>
        <rFont val="Calibri"/>
        <family val="2"/>
        <scheme val="minor"/>
      </rPr>
      <t xml:space="preserve"> The current version of this model has made use of Artificial Intelligence (AI) models in the "NOI&amp;NDCF" and "Valuation" tabs. </t>
    </r>
  </si>
  <si>
    <t>&lt;- The breakdown of the Total Income line</t>
  </si>
  <si>
    <t>&lt;- The Consolidated Profit and Loss statement for Embassy REIT</t>
  </si>
  <si>
    <t>&lt;- The Consolidated Balance Sheet of Embassy REIT</t>
  </si>
  <si>
    <t>&lt;- The Consolidated Cash Flow Statement of Embassy REIT</t>
  </si>
  <si>
    <t>Therefore, the data may vary from actuals. The author has made every effort to cross-check and verify those data points and are true to the best of his knowledge.</t>
  </si>
  <si>
    <t>Latest Valuation Date:</t>
  </si>
  <si>
    <t>g ↓  /  Ke →</t>
  </si>
  <si>
    <t>Gordon Growth Model Terminal Value</t>
  </si>
  <si>
    <t>Value per Unit (DDM)</t>
  </si>
  <si>
    <t>Football Field Summary</t>
  </si>
  <si>
    <t>Method</t>
  </si>
  <si>
    <t>NAV</t>
  </si>
  <si>
    <t>EV/EBITDA</t>
  </si>
  <si>
    <t>DDM</t>
  </si>
  <si>
    <t>Sensitivity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</si>
</sst>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0.0%"/>
    <numFmt numFmtId="165" formatCode="#,##0.0"/>
    <numFmt numFmtId="166" formatCode="_(* #,##0.0_);_(* \(#,##0.0\);_(* &quot;-&quot;??_);_(@_)"/>
    <numFmt numFmtId="167" formatCode="_ * #,##0.0_ ;_ * \-#,##0.0_ ;_ * &quot;-&quot;??_ ;_ @_ "/>
    <numFmt numFmtId="168" formatCode="_(* #,##0.0000_);_(* \(#,##0.0000\);_(* &quot;-&quot;??_);_(@_)"/>
    <numFmt numFmtId="169" formatCode="0.0&quot;x&quot;"/>
    <numFmt numFmtId="170" formatCode="&quot;₹ &quot;#,##0.0"/>
    <numFmt numFmtId="171" formatCode="#,##0.0;\(#,##0.0\)"/>
    <numFmt numFmtId="172" formatCode="&quot;₹ &quot;#,##0"/>
    <numFmt numFmtId="173" formatCode="0.0%;[Red]\(0.0%\)"/>
  </numFmts>
  <fonts count="2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color rgb="FF0070C0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5"/>
      <name val="Calibri"/>
      <family val="2"/>
      <scheme val="minor"/>
    </font>
    <font>
      <b/>
      <u/>
      <sz val="16"/>
      <color theme="5"/>
      <name val="Calibri"/>
      <family val="2"/>
      <scheme val="minor"/>
    </font>
    <font>
      <b/>
      <i/>
      <u/>
      <sz val="12"/>
      <color theme="10"/>
      <name val="Calibri"/>
      <family val="2"/>
      <scheme val="minor"/>
    </font>
    <font>
      <b/>
      <sz val="12"/>
      <color rgb="FF1F3864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9"/>
      <color rgb="FF1F3864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83">
    <xf numFmtId="0" fontId="0" fillId="0" borderId="0" xfId="0"/>
    <xf numFmtId="0" fontId="2" fillId="0" borderId="0" xfId="0" applyFont="1"/>
    <xf numFmtId="0" fontId="0" fillId="2" borderId="0" xfId="0" applyFill="1" applyAlignment="1">
      <alignment horizontal="centerContinuous"/>
    </xf>
    <xf numFmtId="0" fontId="0" fillId="0" borderId="1" xfId="0" applyBorder="1"/>
    <xf numFmtId="0" fontId="2" fillId="0" borderId="1" xfId="0" applyFont="1" applyBorder="1"/>
    <xf numFmtId="2" fontId="0" fillId="0" borderId="0" xfId="0" applyNumberFormat="1"/>
    <xf numFmtId="0" fontId="3" fillId="0" borderId="0" xfId="0" applyFont="1"/>
    <xf numFmtId="0" fontId="2" fillId="2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0" fillId="4" borderId="0" xfId="0" applyFill="1" applyAlignment="1">
      <alignment horizontal="centerContinuous"/>
    </xf>
    <xf numFmtId="4" fontId="0" fillId="0" borderId="0" xfId="0" applyNumberFormat="1"/>
    <xf numFmtId="0" fontId="2" fillId="0" borderId="2" xfId="0" applyFont="1" applyBorder="1"/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" fontId="8" fillId="0" borderId="0" xfId="0" applyNumberFormat="1" applyFont="1"/>
    <xf numFmtId="9" fontId="0" fillId="0" borderId="0" xfId="1" applyFont="1"/>
    <xf numFmtId="4" fontId="2" fillId="5" borderId="0" xfId="0" applyNumberFormat="1" applyFont="1" applyFill="1"/>
    <xf numFmtId="0" fontId="0" fillId="5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2" fillId="5" borderId="0" xfId="0" applyFont="1" applyFill="1"/>
    <xf numFmtId="0" fontId="0" fillId="5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0" fillId="0" borderId="0" xfId="1" applyNumberFormat="1" applyFont="1"/>
    <xf numFmtId="2" fontId="0" fillId="0" borderId="0" xfId="1" applyNumberFormat="1" applyFont="1"/>
    <xf numFmtId="0" fontId="13" fillId="5" borderId="1" xfId="0" applyFont="1" applyFill="1" applyBorder="1"/>
    <xf numFmtId="0" fontId="0" fillId="5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9" fontId="0" fillId="3" borderId="0" xfId="1" applyFont="1" applyFill="1"/>
    <xf numFmtId="0" fontId="2" fillId="5" borderId="6" xfId="0" applyFont="1" applyFill="1" applyBorder="1"/>
    <xf numFmtId="0" fontId="0" fillId="5" borderId="1" xfId="0" applyFill="1" applyBorder="1"/>
    <xf numFmtId="0" fontId="2" fillId="5" borderId="1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0" fillId="0" borderId="8" xfId="0" applyBorder="1"/>
    <xf numFmtId="0" fontId="0" fillId="5" borderId="8" xfId="0" applyFill="1" applyBorder="1"/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0" fillId="5" borderId="10" xfId="0" applyFill="1" applyBorder="1"/>
    <xf numFmtId="0" fontId="0" fillId="5" borderId="11" xfId="0" applyFill="1" applyBorder="1"/>
    <xf numFmtId="0" fontId="3" fillId="5" borderId="11" xfId="0" applyFont="1" applyFill="1" applyBorder="1"/>
    <xf numFmtId="0" fontId="3" fillId="5" borderId="11" xfId="0" applyFont="1" applyFill="1" applyBorder="1" applyAlignment="1">
      <alignment horizontal="center"/>
    </xf>
    <xf numFmtId="0" fontId="2" fillId="5" borderId="8" xfId="0" applyFont="1" applyFill="1" applyBorder="1"/>
    <xf numFmtId="0" fontId="0" fillId="0" borderId="11" xfId="0" applyBorder="1"/>
    <xf numFmtId="0" fontId="0" fillId="5" borderId="11" xfId="0" applyFill="1" applyBorder="1" applyAlignment="1">
      <alignment horizontal="center"/>
    </xf>
    <xf numFmtId="9" fontId="4" fillId="5" borderId="0" xfId="1" applyFont="1" applyFill="1" applyBorder="1" applyAlignment="1">
      <alignment horizontal="right"/>
    </xf>
    <xf numFmtId="9" fontId="0" fillId="3" borderId="0" xfId="1" applyFont="1" applyFill="1" applyBorder="1" applyAlignment="1">
      <alignment horizontal="right"/>
    </xf>
    <xf numFmtId="9" fontId="0" fillId="3" borderId="9" xfId="1" applyFont="1" applyFill="1" applyBorder="1" applyAlignment="1">
      <alignment horizontal="right"/>
    </xf>
    <xf numFmtId="10" fontId="12" fillId="5" borderId="0" xfId="1" applyNumberFormat="1" applyFont="1" applyFill="1" applyBorder="1" applyAlignment="1">
      <alignment horizontal="right"/>
    </xf>
    <xf numFmtId="10" fontId="7" fillId="5" borderId="0" xfId="1" applyNumberFormat="1" applyFont="1" applyFill="1" applyBorder="1" applyAlignment="1">
      <alignment horizontal="right"/>
    </xf>
    <xf numFmtId="9" fontId="3" fillId="3" borderId="0" xfId="1" applyFont="1" applyFill="1" applyBorder="1" applyAlignment="1">
      <alignment horizontal="right"/>
    </xf>
    <xf numFmtId="9" fontId="3" fillId="3" borderId="9" xfId="1" applyFont="1" applyFill="1" applyBorder="1" applyAlignment="1">
      <alignment horizontal="right"/>
    </xf>
    <xf numFmtId="2" fontId="12" fillId="5" borderId="0" xfId="0" applyNumberFormat="1" applyFont="1" applyFill="1" applyAlignment="1">
      <alignment horizontal="right"/>
    </xf>
    <xf numFmtId="9" fontId="7" fillId="5" borderId="0" xfId="1" applyFont="1" applyFill="1" applyBorder="1" applyAlignment="1">
      <alignment horizontal="right"/>
    </xf>
    <xf numFmtId="9" fontId="12" fillId="5" borderId="0" xfId="1" applyFont="1" applyFill="1" applyBorder="1" applyAlignment="1">
      <alignment horizontal="right"/>
    </xf>
    <xf numFmtId="9" fontId="12" fillId="5" borderId="9" xfId="1" applyFont="1" applyFill="1" applyBorder="1" applyAlignment="1">
      <alignment horizontal="right"/>
    </xf>
    <xf numFmtId="2" fontId="4" fillId="5" borderId="0" xfId="0" applyNumberFormat="1" applyFont="1" applyFill="1" applyAlignment="1">
      <alignment horizontal="right"/>
    </xf>
    <xf numFmtId="2" fontId="7" fillId="5" borderId="0" xfId="1" applyNumberFormat="1" applyFont="1" applyFill="1" applyBorder="1" applyAlignment="1">
      <alignment horizontal="right"/>
    </xf>
    <xf numFmtId="2" fontId="0" fillId="5" borderId="0" xfId="0" applyNumberFormat="1" applyFill="1" applyAlignment="1">
      <alignment horizontal="right"/>
    </xf>
    <xf numFmtId="2" fontId="0" fillId="5" borderId="9" xfId="0" applyNumberFormat="1" applyFill="1" applyBorder="1" applyAlignment="1">
      <alignment horizontal="right"/>
    </xf>
    <xf numFmtId="9" fontId="4" fillId="5" borderId="11" xfId="1" applyFont="1" applyFill="1" applyBorder="1" applyAlignment="1">
      <alignment horizontal="right"/>
    </xf>
    <xf numFmtId="9" fontId="4" fillId="3" borderId="11" xfId="1" applyFont="1" applyFill="1" applyBorder="1" applyAlignment="1">
      <alignment horizontal="right"/>
    </xf>
    <xf numFmtId="10" fontId="4" fillId="5" borderId="0" xfId="1" applyNumberFormat="1" applyFont="1" applyFill="1" applyAlignment="1">
      <alignment horizontal="right"/>
    </xf>
    <xf numFmtId="10" fontId="0" fillId="5" borderId="0" xfId="1" applyNumberFormat="1" applyFont="1" applyFill="1" applyAlignment="1">
      <alignment horizontal="right"/>
    </xf>
    <xf numFmtId="10" fontId="4" fillId="5" borderId="1" xfId="1" applyNumberFormat="1" applyFont="1" applyFill="1" applyBorder="1" applyAlignment="1">
      <alignment horizontal="right"/>
    </xf>
    <xf numFmtId="10" fontId="0" fillId="5" borderId="7" xfId="1" applyNumberFormat="1" applyFont="1" applyFill="1" applyBorder="1" applyAlignment="1">
      <alignment horizontal="right"/>
    </xf>
    <xf numFmtId="9" fontId="7" fillId="5" borderId="0" xfId="1" applyFont="1" applyFill="1" applyBorder="1" applyAlignment="1"/>
    <xf numFmtId="9" fontId="7" fillId="3" borderId="0" xfId="1" applyFont="1" applyFill="1" applyBorder="1" applyAlignment="1"/>
    <xf numFmtId="9" fontId="7" fillId="3" borderId="9" xfId="1" applyFont="1" applyFill="1" applyBorder="1" applyAlignment="1"/>
    <xf numFmtId="2" fontId="12" fillId="5" borderId="11" xfId="1" applyNumberFormat="1" applyFont="1" applyFill="1" applyBorder="1" applyAlignment="1"/>
    <xf numFmtId="9" fontId="7" fillId="5" borderId="11" xfId="1" applyFont="1" applyFill="1" applyBorder="1" applyAlignment="1"/>
    <xf numFmtId="9" fontId="7" fillId="3" borderId="11" xfId="1" applyFont="1" applyFill="1" applyBorder="1" applyAlignment="1"/>
    <xf numFmtId="9" fontId="7" fillId="3" borderId="12" xfId="1" applyFont="1" applyFill="1" applyBorder="1" applyAlignment="1"/>
    <xf numFmtId="2" fontId="12" fillId="5" borderId="0" xfId="1" applyNumberFormat="1" applyFont="1" applyFill="1" applyBorder="1" applyAlignment="1"/>
    <xf numFmtId="9" fontId="12" fillId="5" borderId="0" xfId="1" applyFont="1" applyFill="1" applyBorder="1" applyAlignment="1"/>
    <xf numFmtId="165" fontId="4" fillId="5" borderId="0" xfId="1" applyNumberFormat="1" applyFont="1" applyFill="1" applyBorder="1" applyAlignment="1"/>
    <xf numFmtId="165" fontId="1" fillId="5" borderId="0" xfId="1" applyNumberFormat="1" applyFont="1" applyFill="1" applyBorder="1" applyAlignment="1"/>
    <xf numFmtId="9" fontId="4" fillId="5" borderId="0" xfId="1" applyFont="1" applyFill="1" applyBorder="1" applyAlignment="1"/>
    <xf numFmtId="9" fontId="5" fillId="3" borderId="0" xfId="1" applyFont="1" applyFill="1" applyBorder="1" applyAlignment="1"/>
    <xf numFmtId="165" fontId="5" fillId="5" borderId="0" xfId="1" applyNumberFormat="1" applyFont="1" applyFill="1" applyBorder="1" applyAlignment="1"/>
    <xf numFmtId="9" fontId="5" fillId="5" borderId="0" xfId="1" applyFont="1" applyFill="1" applyBorder="1" applyAlignment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2" fontId="12" fillId="5" borderId="1" xfId="1" applyNumberFormat="1" applyFont="1" applyFill="1" applyBorder="1" applyAlignment="1"/>
    <xf numFmtId="9" fontId="7" fillId="5" borderId="1" xfId="1" applyFont="1" applyFill="1" applyBorder="1" applyAlignment="1"/>
    <xf numFmtId="9" fontId="7" fillId="5" borderId="7" xfId="1" applyFont="1" applyFill="1" applyBorder="1" applyAlignment="1"/>
    <xf numFmtId="165" fontId="1" fillId="5" borderId="9" xfId="1" applyNumberFormat="1" applyFont="1" applyFill="1" applyBorder="1" applyAlignment="1"/>
    <xf numFmtId="9" fontId="5" fillId="3" borderId="9" xfId="1" applyFont="1" applyFill="1" applyBorder="1" applyAlignment="1"/>
    <xf numFmtId="9" fontId="5" fillId="5" borderId="9" xfId="1" applyFont="1" applyFill="1" applyBorder="1" applyAlignment="1"/>
    <xf numFmtId="165" fontId="5" fillId="5" borderId="9" xfId="1" applyNumberFormat="1" applyFont="1" applyFill="1" applyBorder="1" applyAlignment="1"/>
    <xf numFmtId="9" fontId="12" fillId="5" borderId="11" xfId="1" applyFont="1" applyFill="1" applyBorder="1" applyAlignment="1"/>
    <xf numFmtId="164" fontId="4" fillId="0" borderId="0" xfId="1" applyNumberFormat="1" applyFont="1"/>
    <xf numFmtId="0" fontId="13" fillId="0" borderId="0" xfId="0" applyFont="1"/>
    <xf numFmtId="0" fontId="15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4" borderId="0" xfId="0" applyFont="1" applyFill="1" applyAlignment="1">
      <alignment horizontal="centerContinuous" vertical="center"/>
    </xf>
    <xf numFmtId="0" fontId="0" fillId="4" borderId="0" xfId="0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14" fillId="7" borderId="0" xfId="0" applyFont="1" applyFill="1" applyAlignment="1">
      <alignment horizontal="right" vertical="center"/>
    </xf>
    <xf numFmtId="0" fontId="14" fillId="7" borderId="0" xfId="0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166" fontId="0" fillId="0" borderId="0" xfId="0" applyNumberFormat="1" applyAlignment="1">
      <alignment vertical="center"/>
    </xf>
    <xf numFmtId="166" fontId="4" fillId="0" borderId="0" xfId="0" applyNumberFormat="1" applyFont="1" applyAlignment="1">
      <alignment vertical="center"/>
    </xf>
    <xf numFmtId="166" fontId="5" fillId="0" borderId="1" xfId="0" applyNumberFormat="1" applyFont="1" applyBorder="1" applyAlignment="1">
      <alignment vertical="center"/>
    </xf>
    <xf numFmtId="166" fontId="6" fillId="0" borderId="2" xfId="0" applyNumberFormat="1" applyFont="1" applyBorder="1" applyAlignment="1">
      <alignment vertical="center"/>
    </xf>
    <xf numFmtId="0" fontId="0" fillId="0" borderId="0" xfId="0" quotePrefix="1" applyAlignment="1">
      <alignment horizontal="right" vertical="center"/>
    </xf>
    <xf numFmtId="0" fontId="2" fillId="0" borderId="6" xfId="0" applyFont="1" applyBorder="1"/>
    <xf numFmtId="2" fontId="0" fillId="0" borderId="1" xfId="0" applyNumberFormat="1" applyBorder="1"/>
    <xf numFmtId="2" fontId="0" fillId="0" borderId="7" xfId="0" applyNumberFormat="1" applyBorder="1"/>
    <xf numFmtId="9" fontId="7" fillId="0" borderId="0" xfId="1" applyFont="1" applyBorder="1"/>
    <xf numFmtId="2" fontId="4" fillId="0" borderId="0" xfId="0" applyNumberFormat="1" applyFont="1"/>
    <xf numFmtId="9" fontId="0" fillId="3" borderId="0" xfId="1" applyFont="1" applyFill="1" applyBorder="1"/>
    <xf numFmtId="9" fontId="0" fillId="3" borderId="9" xfId="1" applyFont="1" applyFill="1" applyBorder="1"/>
    <xf numFmtId="0" fontId="0" fillId="0" borderId="10" xfId="0" applyBorder="1"/>
    <xf numFmtId="9" fontId="0" fillId="3" borderId="11" xfId="1" applyFont="1" applyFill="1" applyBorder="1"/>
    <xf numFmtId="9" fontId="0" fillId="3" borderId="12" xfId="1" applyFont="1" applyFill="1" applyBorder="1"/>
    <xf numFmtId="164" fontId="0" fillId="3" borderId="0" xfId="1" applyNumberFormat="1" applyFont="1" applyFill="1"/>
    <xf numFmtId="9" fontId="4" fillId="3" borderId="12" xfId="1" applyFont="1" applyFill="1" applyBorder="1" applyAlignment="1">
      <alignment horizontal="right"/>
    </xf>
    <xf numFmtId="9" fontId="12" fillId="3" borderId="0" xfId="1" applyFont="1" applyFill="1" applyBorder="1" applyAlignment="1">
      <alignment horizontal="right"/>
    </xf>
    <xf numFmtId="9" fontId="12" fillId="3" borderId="9" xfId="1" applyFont="1" applyFill="1" applyBorder="1" applyAlignment="1">
      <alignment horizontal="right"/>
    </xf>
    <xf numFmtId="9" fontId="4" fillId="3" borderId="0" xfId="1" applyFont="1" applyFill="1" applyBorder="1" applyAlignment="1"/>
    <xf numFmtId="9" fontId="12" fillId="3" borderId="0" xfId="1" applyFont="1" applyFill="1" applyBorder="1" applyAlignment="1"/>
    <xf numFmtId="9" fontId="4" fillId="3" borderId="0" xfId="1" applyFont="1" applyFill="1" applyBorder="1"/>
    <xf numFmtId="9" fontId="4" fillId="3" borderId="9" xfId="1" applyFont="1" applyFill="1" applyBorder="1"/>
    <xf numFmtId="9" fontId="1" fillId="3" borderId="0" xfId="1" applyFont="1" applyFill="1" applyBorder="1"/>
    <xf numFmtId="9" fontId="1" fillId="3" borderId="9" xfId="1" applyFont="1" applyFill="1" applyBorder="1"/>
    <xf numFmtId="9" fontId="1" fillId="0" borderId="0" xfId="1" applyFont="1"/>
    <xf numFmtId="9" fontId="4" fillId="3" borderId="0" xfId="1" applyFont="1" applyFill="1"/>
    <xf numFmtId="4" fontId="0" fillId="0" borderId="0" xfId="0" quotePrefix="1" applyNumberFormat="1" applyAlignment="1">
      <alignment horizontal="center"/>
    </xf>
    <xf numFmtId="164" fontId="0" fillId="0" borderId="0" xfId="1" applyNumberFormat="1" applyFont="1"/>
    <xf numFmtId="166" fontId="4" fillId="5" borderId="0" xfId="0" applyNumberFormat="1" applyFont="1" applyFill="1" applyAlignment="1">
      <alignment horizontal="right"/>
    </xf>
    <xf numFmtId="166" fontId="0" fillId="3" borderId="0" xfId="0" applyNumberFormat="1" applyFill="1" applyAlignment="1">
      <alignment horizontal="right"/>
    </xf>
    <xf numFmtId="166" fontId="0" fillId="3" borderId="9" xfId="0" applyNumberFormat="1" applyFill="1" applyBorder="1" applyAlignment="1">
      <alignment horizontal="right"/>
    </xf>
    <xf numFmtId="166" fontId="4" fillId="5" borderId="1" xfId="0" applyNumberFormat="1" applyFont="1" applyFill="1" applyBorder="1" applyAlignment="1">
      <alignment horizontal="right"/>
    </xf>
    <xf numFmtId="166" fontId="0" fillId="3" borderId="1" xfId="0" applyNumberFormat="1" applyFill="1" applyBorder="1" applyAlignment="1">
      <alignment horizontal="right"/>
    </xf>
    <xf numFmtId="166" fontId="0" fillId="3" borderId="7" xfId="0" applyNumberFormat="1" applyFill="1" applyBorder="1" applyAlignment="1">
      <alignment horizontal="right"/>
    </xf>
    <xf numFmtId="166" fontId="12" fillId="3" borderId="0" xfId="0" applyNumberFormat="1" applyFont="1" applyFill="1" applyAlignment="1">
      <alignment horizontal="right"/>
    </xf>
    <xf numFmtId="166" fontId="7" fillId="3" borderId="0" xfId="0" applyNumberFormat="1" applyFont="1" applyFill="1" applyAlignment="1">
      <alignment horizontal="right"/>
    </xf>
    <xf numFmtId="166" fontId="5" fillId="5" borderId="0" xfId="0" applyNumberFormat="1" applyFont="1" applyFill="1" applyAlignment="1">
      <alignment horizontal="right"/>
    </xf>
    <xf numFmtId="166" fontId="5" fillId="3" borderId="0" xfId="0" applyNumberFormat="1" applyFont="1" applyFill="1" applyAlignment="1">
      <alignment horizontal="right"/>
    </xf>
    <xf numFmtId="166" fontId="5" fillId="3" borderId="9" xfId="0" applyNumberFormat="1" applyFont="1" applyFill="1" applyBorder="1" applyAlignment="1">
      <alignment horizontal="right"/>
    </xf>
    <xf numFmtId="166" fontId="5" fillId="5" borderId="1" xfId="0" applyNumberFormat="1" applyFont="1" applyFill="1" applyBorder="1" applyAlignment="1">
      <alignment horizontal="right"/>
    </xf>
    <xf numFmtId="166" fontId="5" fillId="3" borderId="1" xfId="0" applyNumberFormat="1" applyFont="1" applyFill="1" applyBorder="1" applyAlignment="1">
      <alignment horizontal="right"/>
    </xf>
    <xf numFmtId="166" fontId="5" fillId="3" borderId="7" xfId="0" applyNumberFormat="1" applyFont="1" applyFill="1" applyBorder="1" applyAlignment="1">
      <alignment horizontal="right"/>
    </xf>
    <xf numFmtId="166" fontId="4" fillId="3" borderId="0" xfId="0" applyNumberFormat="1" applyFont="1" applyFill="1" applyAlignment="1">
      <alignment horizontal="right"/>
    </xf>
    <xf numFmtId="166" fontId="4" fillId="3" borderId="9" xfId="0" applyNumberFormat="1" applyFont="1" applyFill="1" applyBorder="1" applyAlignment="1">
      <alignment horizontal="right"/>
    </xf>
    <xf numFmtId="166" fontId="4" fillId="5" borderId="0" xfId="1" applyNumberFormat="1" applyFont="1" applyFill="1" applyBorder="1" applyAlignment="1"/>
    <xf numFmtId="166" fontId="5" fillId="3" borderId="0" xfId="1" applyNumberFormat="1" applyFont="1" applyFill="1" applyBorder="1" applyAlignment="1"/>
    <xf numFmtId="166" fontId="5" fillId="3" borderId="9" xfId="1" applyNumberFormat="1" applyFont="1" applyFill="1" applyBorder="1" applyAlignment="1"/>
    <xf numFmtId="166" fontId="4" fillId="3" borderId="0" xfId="1" applyNumberFormat="1" applyFont="1" applyFill="1" applyBorder="1" applyAlignment="1"/>
    <xf numFmtId="166" fontId="4" fillId="3" borderId="9" xfId="1" applyNumberFormat="1" applyFont="1" applyFill="1" applyBorder="1" applyAlignment="1"/>
    <xf numFmtId="166" fontId="1" fillId="5" borderId="0" xfId="1" applyNumberFormat="1" applyFont="1" applyFill="1" applyBorder="1" applyAlignment="1"/>
    <xf numFmtId="166" fontId="1" fillId="3" borderId="0" xfId="1" applyNumberFormat="1" applyFont="1" applyFill="1" applyBorder="1" applyAlignment="1"/>
    <xf numFmtId="166" fontId="1" fillId="3" borderId="9" xfId="1" applyNumberFormat="1" applyFont="1" applyFill="1" applyBorder="1" applyAlignment="1"/>
    <xf numFmtId="166" fontId="5" fillId="5" borderId="0" xfId="1" applyNumberFormat="1" applyFont="1" applyFill="1" applyBorder="1" applyAlignment="1"/>
    <xf numFmtId="166" fontId="4" fillId="0" borderId="0" xfId="0" applyNumberFormat="1" applyFont="1"/>
    <xf numFmtId="166" fontId="0" fillId="3" borderId="0" xfId="0" applyNumberFormat="1" applyFill="1"/>
    <xf numFmtId="166" fontId="0" fillId="3" borderId="9" xfId="0" applyNumberFormat="1" applyFill="1" applyBorder="1"/>
    <xf numFmtId="166" fontId="7" fillId="5" borderId="0" xfId="1" applyNumberFormat="1" applyFont="1" applyFill="1" applyBorder="1" applyAlignment="1"/>
    <xf numFmtId="166" fontId="7" fillId="0" borderId="0" xfId="0" applyNumberFormat="1" applyFont="1"/>
    <xf numFmtId="166" fontId="7" fillId="0" borderId="0" xfId="1" applyNumberFormat="1" applyFont="1" applyBorder="1"/>
    <xf numFmtId="166" fontId="4" fillId="3" borderId="0" xfId="1" applyNumberFormat="1" applyFont="1" applyFill="1" applyBorder="1"/>
    <xf numFmtId="166" fontId="1" fillId="3" borderId="0" xfId="1" applyNumberFormat="1" applyFont="1" applyFill="1" applyBorder="1"/>
    <xf numFmtId="166" fontId="1" fillId="3" borderId="9" xfId="1" applyNumberFormat="1" applyFont="1" applyFill="1" applyBorder="1"/>
    <xf numFmtId="166" fontId="0" fillId="0" borderId="0" xfId="0" applyNumberFormat="1"/>
    <xf numFmtId="9" fontId="12" fillId="0" borderId="0" xfId="1" applyFont="1" applyBorder="1"/>
    <xf numFmtId="0" fontId="3" fillId="0" borderId="11" xfId="0" applyFont="1" applyBorder="1"/>
    <xf numFmtId="9" fontId="12" fillId="0" borderId="11" xfId="1" applyFont="1" applyBorder="1"/>
    <xf numFmtId="166" fontId="3" fillId="0" borderId="0" xfId="0" applyNumberFormat="1" applyFont="1"/>
    <xf numFmtId="9" fontId="3" fillId="0" borderId="0" xfId="1" applyFont="1" applyBorder="1"/>
    <xf numFmtId="166" fontId="5" fillId="3" borderId="0" xfId="0" applyNumberFormat="1" applyFont="1" applyFill="1"/>
    <xf numFmtId="164" fontId="0" fillId="3" borderId="0" xfId="1" applyNumberFormat="1" applyFont="1" applyFill="1" applyBorder="1"/>
    <xf numFmtId="164" fontId="0" fillId="3" borderId="9" xfId="1" applyNumberFormat="1" applyFont="1" applyFill="1" applyBorder="1"/>
    <xf numFmtId="0" fontId="3" fillId="0" borderId="11" xfId="0" applyFont="1" applyBorder="1" applyAlignment="1">
      <alignment horizontal="center"/>
    </xf>
    <xf numFmtId="164" fontId="3" fillId="0" borderId="0" xfId="1" applyNumberFormat="1" applyFont="1"/>
    <xf numFmtId="164" fontId="3" fillId="3" borderId="0" xfId="1" applyNumberFormat="1" applyFont="1" applyFill="1"/>
    <xf numFmtId="166" fontId="2" fillId="0" borderId="1" xfId="0" applyNumberFormat="1" applyFont="1" applyBorder="1"/>
    <xf numFmtId="166" fontId="2" fillId="3" borderId="1" xfId="0" applyNumberFormat="1" applyFont="1" applyFill="1" applyBorder="1"/>
    <xf numFmtId="166" fontId="2" fillId="0" borderId="0" xfId="0" applyNumberFormat="1" applyFont="1"/>
    <xf numFmtId="166" fontId="2" fillId="3" borderId="0" xfId="0" applyNumberFormat="1" applyFont="1" applyFill="1"/>
    <xf numFmtId="166" fontId="3" fillId="0" borderId="0" xfId="1" applyNumberFormat="1" applyFont="1"/>
    <xf numFmtId="166" fontId="4" fillId="0" borderId="0" xfId="1" applyNumberFormat="1" applyFont="1"/>
    <xf numFmtId="166" fontId="1" fillId="3" borderId="0" xfId="1" applyNumberFormat="1" applyFont="1" applyFill="1"/>
    <xf numFmtId="166" fontId="2" fillId="0" borderId="0" xfId="1" applyNumberFormat="1" applyFont="1" applyBorder="1"/>
    <xf numFmtId="166" fontId="2" fillId="3" borderId="0" xfId="1" applyNumberFormat="1" applyFont="1" applyFill="1" applyBorder="1"/>
    <xf numFmtId="166" fontId="2" fillId="0" borderId="1" xfId="1" applyNumberFormat="1" applyFont="1" applyBorder="1"/>
    <xf numFmtId="166" fontId="2" fillId="3" borderId="1" xfId="1" applyNumberFormat="1" applyFont="1" applyFill="1" applyBorder="1"/>
    <xf numFmtId="166" fontId="2" fillId="0" borderId="2" xfId="1" applyNumberFormat="1" applyFont="1" applyBorder="1"/>
    <xf numFmtId="166" fontId="2" fillId="3" borderId="2" xfId="1" applyNumberFormat="1" applyFont="1" applyFill="1" applyBorder="1"/>
    <xf numFmtId="166" fontId="1" fillId="0" borderId="0" xfId="1" applyNumberFormat="1" applyFont="1"/>
    <xf numFmtId="166" fontId="2" fillId="0" borderId="0" xfId="1" applyNumberFormat="1" applyFont="1"/>
    <xf numFmtId="166" fontId="2" fillId="3" borderId="0" xfId="1" applyNumberFormat="1" applyFont="1" applyFill="1"/>
    <xf numFmtId="166" fontId="1" fillId="0" borderId="1" xfId="1" applyNumberFormat="1" applyFont="1" applyBorder="1"/>
    <xf numFmtId="166" fontId="1" fillId="3" borderId="1" xfId="1" applyNumberFormat="1" applyFont="1" applyFill="1" applyBorder="1"/>
    <xf numFmtId="167" fontId="0" fillId="0" borderId="0" xfId="1" applyNumberFormat="1" applyFont="1"/>
    <xf numFmtId="9" fontId="0" fillId="0" borderId="0" xfId="1" applyFont="1" applyAlignment="1">
      <alignment vertical="center"/>
    </xf>
    <xf numFmtId="164" fontId="0" fillId="0" borderId="0" xfId="1" applyNumberFormat="1" applyFont="1" applyAlignment="1">
      <alignment vertical="center"/>
    </xf>
    <xf numFmtId="0" fontId="0" fillId="0" borderId="0" xfId="0" quotePrefix="1"/>
    <xf numFmtId="166" fontId="0" fillId="3" borderId="0" xfId="0" applyNumberFormat="1" applyFill="1" applyAlignment="1">
      <alignment vertical="center"/>
    </xf>
    <xf numFmtId="166" fontId="5" fillId="3" borderId="1" xfId="0" applyNumberFormat="1" applyFont="1" applyFill="1" applyBorder="1" applyAlignment="1">
      <alignment vertical="center"/>
    </xf>
    <xf numFmtId="166" fontId="6" fillId="3" borderId="2" xfId="0" applyNumberFormat="1" applyFont="1" applyFill="1" applyBorder="1" applyAlignment="1">
      <alignment vertical="center"/>
    </xf>
    <xf numFmtId="10" fontId="0" fillId="0" borderId="0" xfId="1" applyNumberFormat="1" applyFont="1" applyAlignment="1"/>
    <xf numFmtId="2" fontId="0" fillId="0" borderId="0" xfId="1" applyNumberFormat="1" applyFont="1" applyAlignment="1"/>
    <xf numFmtId="166" fontId="5" fillId="5" borderId="1" xfId="1" applyNumberFormat="1" applyFont="1" applyFill="1" applyBorder="1" applyAlignment="1"/>
    <xf numFmtId="166" fontId="6" fillId="5" borderId="2" xfId="1" applyNumberFormat="1" applyFont="1" applyFill="1" applyBorder="1" applyAlignment="1"/>
    <xf numFmtId="166" fontId="6" fillId="5" borderId="1" xfId="1" applyNumberFormat="1" applyFont="1" applyFill="1" applyBorder="1" applyAlignment="1"/>
    <xf numFmtId="166" fontId="8" fillId="5" borderId="1" xfId="1" applyNumberFormat="1" applyFont="1" applyFill="1" applyBorder="1" applyAlignment="1"/>
    <xf numFmtId="0" fontId="14" fillId="0" borderId="2" xfId="0" applyFont="1" applyBorder="1"/>
    <xf numFmtId="166" fontId="2" fillId="0" borderId="2" xfId="0" applyNumberFormat="1" applyFont="1" applyBorder="1"/>
    <xf numFmtId="166" fontId="5" fillId="0" borderId="0" xfId="1" applyNumberFormat="1" applyFont="1" applyBorder="1"/>
    <xf numFmtId="166" fontId="4" fillId="0" borderId="0" xfId="1" applyNumberFormat="1" applyFont="1" applyBorder="1"/>
    <xf numFmtId="9" fontId="5" fillId="0" borderId="0" xfId="1" applyFont="1" applyBorder="1"/>
    <xf numFmtId="164" fontId="7" fillId="0" borderId="0" xfId="1" applyNumberFormat="1" applyFont="1" applyBorder="1"/>
    <xf numFmtId="166" fontId="5" fillId="3" borderId="1" xfId="1" applyNumberFormat="1" applyFont="1" applyFill="1" applyBorder="1" applyAlignment="1"/>
    <xf numFmtId="166" fontId="6" fillId="3" borderId="2" xfId="1" applyNumberFormat="1" applyFont="1" applyFill="1" applyBorder="1" applyAlignment="1"/>
    <xf numFmtId="166" fontId="6" fillId="3" borderId="1" xfId="1" applyNumberFormat="1" applyFont="1" applyFill="1" applyBorder="1" applyAlignment="1"/>
    <xf numFmtId="166" fontId="0" fillId="0" borderId="0" xfId="0" applyNumberFormat="1" applyAlignment="1">
      <alignment horizontal="center"/>
    </xf>
    <xf numFmtId="166" fontId="4" fillId="3" borderId="0" xfId="1" applyNumberFormat="1" applyFont="1" applyFill="1"/>
    <xf numFmtId="166" fontId="3" fillId="0" borderId="0" xfId="0" applyNumberFormat="1" applyFont="1" applyAlignment="1">
      <alignment horizontal="center"/>
    </xf>
    <xf numFmtId="166" fontId="5" fillId="0" borderId="1" xfId="1" applyNumberFormat="1" applyFont="1" applyBorder="1"/>
    <xf numFmtId="164" fontId="4" fillId="0" borderId="0" xfId="1" applyNumberFormat="1" applyFont="1" applyAlignment="1">
      <alignment vertical="center"/>
    </xf>
    <xf numFmtId="167" fontId="0" fillId="3" borderId="0" xfId="1" applyNumberFormat="1" applyFont="1" applyFill="1"/>
    <xf numFmtId="164" fontId="4" fillId="3" borderId="0" xfId="1" applyNumberFormat="1" applyFont="1" applyFill="1"/>
    <xf numFmtId="166" fontId="2" fillId="3" borderId="2" xfId="0" applyNumberFormat="1" applyFont="1" applyFill="1" applyBorder="1"/>
    <xf numFmtId="0" fontId="14" fillId="0" borderId="0" xfId="0" applyFont="1"/>
    <xf numFmtId="166" fontId="2" fillId="5" borderId="0" xfId="0" applyNumberFormat="1" applyFont="1" applyFill="1"/>
    <xf numFmtId="166" fontId="8" fillId="0" borderId="1" xfId="0" applyNumberFormat="1" applyFont="1" applyBorder="1"/>
    <xf numFmtId="9" fontId="0" fillId="6" borderId="0" xfId="1" applyFont="1" applyFill="1" applyAlignment="1">
      <alignment horizontal="center"/>
    </xf>
    <xf numFmtId="166" fontId="5" fillId="3" borderId="0" xfId="1" applyNumberFormat="1" applyFont="1" applyFill="1" applyBorder="1"/>
    <xf numFmtId="164" fontId="5" fillId="3" borderId="0" xfId="1" applyNumberFormat="1" applyFont="1" applyFill="1" applyBorder="1"/>
    <xf numFmtId="9" fontId="5" fillId="3" borderId="0" xfId="1" applyFont="1" applyFill="1" applyBorder="1"/>
    <xf numFmtId="166" fontId="8" fillId="0" borderId="0" xfId="1" applyNumberFormat="1" applyFont="1" applyBorder="1"/>
    <xf numFmtId="164" fontId="4" fillId="3" borderId="0" xfId="1" applyNumberFormat="1" applyFont="1" applyFill="1" applyBorder="1"/>
    <xf numFmtId="166" fontId="6" fillId="0" borderId="1" xfId="1" applyNumberFormat="1" applyFont="1" applyBorder="1"/>
    <xf numFmtId="0" fontId="0" fillId="0" borderId="2" xfId="0" applyBorder="1"/>
    <xf numFmtId="166" fontId="6" fillId="0" borderId="2" xfId="1" applyNumberFormat="1" applyFont="1" applyBorder="1"/>
    <xf numFmtId="166" fontId="6" fillId="3" borderId="1" xfId="1" applyNumberFormat="1" applyFont="1" applyFill="1" applyBorder="1"/>
    <xf numFmtId="166" fontId="6" fillId="3" borderId="2" xfId="1" applyNumberFormat="1" applyFont="1" applyFill="1" applyBorder="1"/>
    <xf numFmtId="164" fontId="12" fillId="0" borderId="0" xfId="1" applyNumberFormat="1" applyFont="1" applyBorder="1"/>
    <xf numFmtId="43" fontId="0" fillId="0" borderId="0" xfId="0" applyNumberFormat="1" applyAlignment="1">
      <alignment vertical="center"/>
    </xf>
    <xf numFmtId="166" fontId="7" fillId="3" borderId="0" xfId="1" applyNumberFormat="1" applyFont="1" applyFill="1" applyBorder="1"/>
    <xf numFmtId="166" fontId="4" fillId="3" borderId="0" xfId="0" applyNumberFormat="1" applyFont="1" applyFill="1"/>
    <xf numFmtId="166" fontId="6" fillId="5" borderId="1" xfId="0" applyNumberFormat="1" applyFont="1" applyFill="1" applyBorder="1" applyAlignment="1">
      <alignment horizontal="right"/>
    </xf>
    <xf numFmtId="166" fontId="6" fillId="3" borderId="1" xfId="0" applyNumberFormat="1" applyFont="1" applyFill="1" applyBorder="1" applyAlignment="1">
      <alignment horizontal="right"/>
    </xf>
    <xf numFmtId="166" fontId="5" fillId="3" borderId="1" xfId="1" applyNumberFormat="1" applyFont="1" applyFill="1" applyBorder="1"/>
    <xf numFmtId="166" fontId="5" fillId="5" borderId="0" xfId="1" applyNumberFormat="1" applyFont="1" applyFill="1" applyBorder="1"/>
    <xf numFmtId="9" fontId="5" fillId="5" borderId="0" xfId="1" applyFont="1" applyFill="1" applyBorder="1"/>
    <xf numFmtId="166" fontId="4" fillId="5" borderId="0" xfId="1" applyNumberFormat="1" applyFont="1" applyFill="1" applyBorder="1"/>
    <xf numFmtId="0" fontId="3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166" fontId="4" fillId="5" borderId="0" xfId="0" applyNumberFormat="1" applyFont="1" applyFill="1" applyAlignment="1">
      <alignment vertical="center"/>
    </xf>
    <xf numFmtId="2" fontId="5" fillId="0" borderId="0" xfId="1" applyNumberFormat="1" applyFont="1" applyBorder="1"/>
    <xf numFmtId="166" fontId="4" fillId="5" borderId="0" xfId="0" applyNumberFormat="1" applyFont="1" applyFill="1"/>
    <xf numFmtId="9" fontId="0" fillId="5" borderId="0" xfId="1" applyFont="1" applyFill="1" applyBorder="1"/>
    <xf numFmtId="166" fontId="5" fillId="0" borderId="7" xfId="1" applyNumberFormat="1" applyFont="1" applyBorder="1"/>
    <xf numFmtId="0" fontId="2" fillId="0" borderId="8" xfId="0" applyFont="1" applyBorder="1"/>
    <xf numFmtId="166" fontId="5" fillId="0" borderId="9" xfId="1" applyNumberFormat="1" applyFont="1" applyBorder="1"/>
    <xf numFmtId="9" fontId="0" fillId="8" borderId="0" xfId="1" applyFont="1" applyFill="1" applyBorder="1" applyAlignment="1">
      <alignment horizontal="center"/>
    </xf>
    <xf numFmtId="166" fontId="5" fillId="3" borderId="9" xfId="1" applyNumberFormat="1" applyFont="1" applyFill="1" applyBorder="1"/>
    <xf numFmtId="0" fontId="0" fillId="0" borderId="11" xfId="0" applyBorder="1" applyAlignment="1">
      <alignment horizontal="center"/>
    </xf>
    <xf numFmtId="166" fontId="5" fillId="0" borderId="11" xfId="1" applyNumberFormat="1" applyFont="1" applyBorder="1"/>
    <xf numFmtId="166" fontId="5" fillId="3" borderId="11" xfId="1" applyNumberFormat="1" applyFont="1" applyFill="1" applyBorder="1"/>
    <xf numFmtId="166" fontId="5" fillId="3" borderId="12" xfId="1" applyNumberFormat="1" applyFont="1" applyFill="1" applyBorder="1"/>
    <xf numFmtId="164" fontId="5" fillId="3" borderId="9" xfId="1" applyNumberFormat="1" applyFont="1" applyFill="1" applyBorder="1"/>
    <xf numFmtId="166" fontId="4" fillId="3" borderId="9" xfId="1" applyNumberFormat="1" applyFont="1" applyFill="1" applyBorder="1"/>
    <xf numFmtId="9" fontId="5" fillId="3" borderId="9" xfId="1" applyFont="1" applyFill="1" applyBorder="1"/>
    <xf numFmtId="43" fontId="0" fillId="0" borderId="0" xfId="0" applyNumberFormat="1" applyAlignment="1">
      <alignment horizontal="center"/>
    </xf>
    <xf numFmtId="43" fontId="3" fillId="0" borderId="0" xfId="0" applyNumberFormat="1" applyFont="1" applyAlignment="1">
      <alignment horizontal="center"/>
    </xf>
    <xf numFmtId="9" fontId="1" fillId="0" borderId="0" xfId="1" applyFont="1" applyBorder="1" applyAlignment="1">
      <alignment horizontal="center"/>
    </xf>
    <xf numFmtId="9" fontId="3" fillId="0" borderId="0" xfId="1" applyFont="1" applyBorder="1" applyAlignment="1">
      <alignment horizontal="center"/>
    </xf>
    <xf numFmtId="164" fontId="5" fillId="0" borderId="11" xfId="1" applyNumberFormat="1" applyFont="1" applyBorder="1"/>
    <xf numFmtId="164" fontId="5" fillId="3" borderId="11" xfId="1" applyNumberFormat="1" applyFont="1" applyFill="1" applyBorder="1"/>
    <xf numFmtId="164" fontId="5" fillId="3" borderId="12" xfId="1" applyNumberFormat="1" applyFont="1" applyFill="1" applyBorder="1"/>
    <xf numFmtId="164" fontId="5" fillId="5" borderId="1" xfId="1" applyNumberFormat="1" applyFont="1" applyFill="1" applyBorder="1"/>
    <xf numFmtId="166" fontId="5" fillId="5" borderId="1" xfId="1" applyNumberFormat="1" applyFont="1" applyFill="1" applyBorder="1"/>
    <xf numFmtId="166" fontId="5" fillId="5" borderId="7" xfId="1" applyNumberFormat="1" applyFont="1" applyFill="1" applyBorder="1"/>
    <xf numFmtId="0" fontId="0" fillId="0" borderId="4" xfId="0" applyBorder="1"/>
    <xf numFmtId="166" fontId="5" fillId="3" borderId="7" xfId="1" applyNumberFormat="1" applyFont="1" applyFill="1" applyBorder="1"/>
    <xf numFmtId="9" fontId="5" fillId="0" borderId="9" xfId="1" applyFont="1" applyBorder="1"/>
    <xf numFmtId="166" fontId="5" fillId="0" borderId="12" xfId="1" applyNumberFormat="1" applyFont="1" applyBorder="1"/>
    <xf numFmtId="166" fontId="0" fillId="5" borderId="0" xfId="0" applyNumberFormat="1" applyFill="1"/>
    <xf numFmtId="166" fontId="0" fillId="5" borderId="9" xfId="0" applyNumberFormat="1" applyFill="1" applyBorder="1"/>
    <xf numFmtId="166" fontId="7" fillId="5" borderId="9" xfId="1" applyNumberFormat="1" applyFont="1" applyFill="1" applyBorder="1" applyAlignment="1"/>
    <xf numFmtId="166" fontId="5" fillId="5" borderId="9" xfId="1" applyNumberFormat="1" applyFont="1" applyFill="1" applyBorder="1"/>
    <xf numFmtId="9" fontId="3" fillId="0" borderId="11" xfId="1" applyFont="1" applyBorder="1"/>
    <xf numFmtId="2" fontId="5" fillId="0" borderId="0" xfId="0" applyNumberFormat="1" applyFont="1"/>
    <xf numFmtId="164" fontId="7" fillId="5" borderId="0" xfId="1" applyNumberFormat="1" applyFont="1" applyFill="1" applyBorder="1"/>
    <xf numFmtId="164" fontId="7" fillId="0" borderId="11" xfId="1" applyNumberFormat="1" applyFont="1" applyBorder="1"/>
    <xf numFmtId="0" fontId="2" fillId="5" borderId="0" xfId="0" applyFont="1" applyFill="1" applyAlignment="1">
      <alignment horizontal="center" vertical="center"/>
    </xf>
    <xf numFmtId="164" fontId="5" fillId="10" borderId="0" xfId="1" applyNumberFormat="1" applyFont="1" applyFill="1" applyBorder="1"/>
    <xf numFmtId="166" fontId="5" fillId="10" borderId="0" xfId="1" applyNumberFormat="1" applyFont="1" applyFill="1" applyBorder="1"/>
    <xf numFmtId="0" fontId="5" fillId="5" borderId="0" xfId="0" applyFont="1" applyFill="1"/>
    <xf numFmtId="0" fontId="6" fillId="5" borderId="0" xfId="0" applyFont="1" applyFill="1"/>
    <xf numFmtId="168" fontId="5" fillId="3" borderId="0" xfId="1" applyNumberFormat="1" applyFont="1" applyFill="1" applyBorder="1"/>
    <xf numFmtId="165" fontId="5" fillId="3" borderId="0" xfId="0" applyNumberFormat="1" applyFont="1" applyFill="1"/>
    <xf numFmtId="171" fontId="5" fillId="3" borderId="0" xfId="0" applyNumberFormat="1" applyFont="1" applyFill="1"/>
    <xf numFmtId="165" fontId="2" fillId="3" borderId="1" xfId="0" applyNumberFormat="1" applyFont="1" applyFill="1" applyBorder="1"/>
    <xf numFmtId="165" fontId="2" fillId="3" borderId="0" xfId="0" applyNumberFormat="1" applyFont="1" applyFill="1"/>
    <xf numFmtId="0" fontId="2" fillId="5" borderId="0" xfId="0" applyFont="1" applyFill="1" applyAlignment="1">
      <alignment horizontal="centerContinuous" vertical="center"/>
    </xf>
    <xf numFmtId="0" fontId="0" fillId="5" borderId="0" xfId="0" applyFill="1" applyAlignment="1">
      <alignment horizontal="centerContinuous" vertical="center"/>
    </xf>
    <xf numFmtId="9" fontId="5" fillId="10" borderId="0" xfId="1" applyFont="1" applyFill="1" applyBorder="1"/>
    <xf numFmtId="164" fontId="7" fillId="3" borderId="0" xfId="1" applyNumberFormat="1" applyFont="1" applyFill="1" applyBorder="1"/>
    <xf numFmtId="0" fontId="0" fillId="0" borderId="0" xfId="0" applyAlignment="1">
      <alignment horizontal="centerContinuous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23" fillId="0" borderId="0" xfId="2" applyFont="1"/>
    <xf numFmtId="0" fontId="9" fillId="0" borderId="0" xfId="2" applyAlignment="1">
      <alignment horizontal="centerContinuous"/>
    </xf>
    <xf numFmtId="0" fontId="7" fillId="0" borderId="0" xfId="2" applyFont="1"/>
    <xf numFmtId="14" fontId="2" fillId="0" borderId="0" xfId="0" applyNumberFormat="1" applyFont="1"/>
    <xf numFmtId="164" fontId="6" fillId="0" borderId="0" xfId="1" applyNumberFormat="1" applyFont="1" applyBorder="1"/>
    <xf numFmtId="0" fontId="0" fillId="0" borderId="8" xfId="0" applyBorder="1" applyAlignment="1">
      <alignment vertical="center"/>
    </xf>
    <xf numFmtId="0" fontId="0" fillId="0" borderId="9" xfId="0" applyBorder="1"/>
    <xf numFmtId="0" fontId="3" fillId="0" borderId="8" xfId="0" applyFont="1" applyBorder="1"/>
    <xf numFmtId="165" fontId="19" fillId="0" borderId="0" xfId="0" applyNumberFormat="1" applyFont="1"/>
    <xf numFmtId="165" fontId="0" fillId="5" borderId="0" xfId="0" applyNumberFormat="1" applyFill="1"/>
    <xf numFmtId="165" fontId="2" fillId="5" borderId="0" xfId="0" applyNumberFormat="1" applyFont="1" applyFill="1"/>
    <xf numFmtId="0" fontId="2" fillId="0" borderId="11" xfId="0" applyFont="1" applyBorder="1"/>
    <xf numFmtId="170" fontId="6" fillId="8" borderId="11" xfId="0" applyNumberFormat="1" applyFont="1" applyFill="1" applyBorder="1" applyAlignment="1">
      <alignment horizontal="right"/>
    </xf>
    <xf numFmtId="0" fontId="0" fillId="0" borderId="12" xfId="0" applyBorder="1"/>
    <xf numFmtId="0" fontId="5" fillId="5" borderId="0" xfId="0" applyFont="1" applyFill="1" applyAlignment="1">
      <alignment horizontal="centerContinuous"/>
    </xf>
    <xf numFmtId="0" fontId="2" fillId="5" borderId="11" xfId="0" applyFont="1" applyFill="1" applyBorder="1"/>
    <xf numFmtId="170" fontId="6" fillId="8" borderId="11" xfId="0" applyNumberFormat="1" applyFont="1" applyFill="1" applyBorder="1"/>
    <xf numFmtId="0" fontId="18" fillId="0" borderId="11" xfId="0" applyFont="1" applyBorder="1"/>
    <xf numFmtId="0" fontId="20" fillId="5" borderId="8" xfId="0" applyFont="1" applyFill="1" applyBorder="1"/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169" fontId="5" fillId="10" borderId="0" xfId="0" applyNumberFormat="1" applyFont="1" applyFill="1" applyAlignment="1">
      <alignment horizontal="right"/>
    </xf>
    <xf numFmtId="169" fontId="5" fillId="10" borderId="9" xfId="0" applyNumberFormat="1" applyFont="1" applyFill="1" applyBorder="1" applyAlignment="1">
      <alignment horizontal="right"/>
    </xf>
    <xf numFmtId="165" fontId="5" fillId="0" borderId="0" xfId="0" applyNumberFormat="1" applyFont="1"/>
    <xf numFmtId="165" fontId="0" fillId="0" borderId="0" xfId="0" applyNumberFormat="1"/>
    <xf numFmtId="165" fontId="0" fillId="0" borderId="9" xfId="0" applyNumberFormat="1" applyBorder="1"/>
    <xf numFmtId="171" fontId="0" fillId="0" borderId="0" xfId="0" applyNumberFormat="1"/>
    <xf numFmtId="171" fontId="0" fillId="0" borderId="9" xfId="0" applyNumberFormat="1" applyBorder="1"/>
    <xf numFmtId="0" fontId="2" fillId="5" borderId="4" xfId="0" applyFont="1" applyFill="1" applyBorder="1"/>
    <xf numFmtId="170" fontId="6" fillId="5" borderId="4" xfId="0" applyNumberFormat="1" applyFont="1" applyFill="1" applyBorder="1"/>
    <xf numFmtId="170" fontId="6" fillId="5" borderId="5" xfId="0" applyNumberFormat="1" applyFont="1" applyFill="1" applyBorder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4" fontId="5" fillId="0" borderId="11" xfId="1" applyNumberFormat="1" applyFont="1" applyBorder="1"/>
    <xf numFmtId="170" fontId="6" fillId="8" borderId="4" xfId="0" applyNumberFormat="1" applyFont="1" applyFill="1" applyBorder="1"/>
    <xf numFmtId="0" fontId="6" fillId="5" borderId="8" xfId="0" applyFont="1" applyFill="1" applyBorder="1"/>
    <xf numFmtId="172" fontId="5" fillId="5" borderId="0" xfId="0" applyNumberFormat="1" applyFont="1" applyFill="1" applyAlignment="1">
      <alignment horizontal="center"/>
    </xf>
    <xf numFmtId="0" fontId="2" fillId="0" borderId="3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166" fontId="5" fillId="0" borderId="4" xfId="1" applyNumberFormat="1" applyFont="1" applyBorder="1" applyAlignment="1">
      <alignment horizontal="centerContinuous"/>
    </xf>
    <xf numFmtId="166" fontId="5" fillId="0" borderId="5" xfId="1" applyNumberFormat="1" applyFont="1" applyBorder="1" applyAlignment="1">
      <alignment horizontal="centerContinuous"/>
    </xf>
    <xf numFmtId="0" fontId="2" fillId="5" borderId="4" xfId="0" applyFont="1" applyFill="1" applyBorder="1" applyAlignment="1">
      <alignment horizontal="centerContinuous" vertical="center"/>
    </xf>
    <xf numFmtId="0" fontId="2" fillId="5" borderId="5" xfId="0" applyFont="1" applyFill="1" applyBorder="1" applyAlignment="1">
      <alignment horizontal="centerContinuous" vertical="center"/>
    </xf>
    <xf numFmtId="0" fontId="6" fillId="5" borderId="3" xfId="0" applyFont="1" applyFill="1" applyBorder="1" applyAlignment="1">
      <alignment horizontal="centerContinuous"/>
    </xf>
    <xf numFmtId="0" fontId="5" fillId="5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6" fillId="5" borderId="0" xfId="0" applyFont="1" applyFill="1" applyAlignment="1">
      <alignment horizontal="center"/>
    </xf>
    <xf numFmtId="172" fontId="0" fillId="0" borderId="0" xfId="0" applyNumberFormat="1" applyAlignment="1">
      <alignment horizontal="center"/>
    </xf>
    <xf numFmtId="172" fontId="0" fillId="5" borderId="0" xfId="0" applyNumberFormat="1" applyFill="1" applyAlignment="1">
      <alignment horizontal="center"/>
    </xf>
    <xf numFmtId="173" fontId="0" fillId="0" borderId="0" xfId="0" applyNumberFormat="1" applyAlignment="1">
      <alignment horizontal="center"/>
    </xf>
    <xf numFmtId="0" fontId="6" fillId="5" borderId="11" xfId="0" applyFont="1" applyFill="1" applyBorder="1"/>
    <xf numFmtId="172" fontId="5" fillId="5" borderId="11" xfId="0" applyNumberFormat="1" applyFont="1" applyFill="1" applyBorder="1" applyAlignment="1">
      <alignment horizontal="center"/>
    </xf>
    <xf numFmtId="0" fontId="5" fillId="5" borderId="5" xfId="0" applyFont="1" applyFill="1" applyBorder="1" applyAlignment="1">
      <alignment horizontal="centerContinuous"/>
    </xf>
    <xf numFmtId="164" fontId="24" fillId="9" borderId="9" xfId="0" applyNumberFormat="1" applyFont="1" applyFill="1" applyBorder="1" applyAlignment="1">
      <alignment horizontal="center"/>
    </xf>
    <xf numFmtId="172" fontId="0" fillId="0" borderId="9" xfId="0" applyNumberFormat="1" applyBorder="1" applyAlignment="1">
      <alignment horizontal="center"/>
    </xf>
    <xf numFmtId="164" fontId="24" fillId="9" borderId="11" xfId="0" applyNumberFormat="1" applyFont="1" applyFill="1" applyBorder="1" applyAlignment="1">
      <alignment horizontal="center"/>
    </xf>
    <xf numFmtId="172" fontId="0" fillId="0" borderId="11" xfId="0" applyNumberFormat="1" applyBorder="1" applyAlignment="1">
      <alignment horizontal="center"/>
    </xf>
    <xf numFmtId="172" fontId="0" fillId="0" borderId="12" xfId="0" applyNumberFormat="1" applyBorder="1" applyAlignment="1">
      <alignment horizontal="center"/>
    </xf>
    <xf numFmtId="0" fontId="0" fillId="0" borderId="3" xfId="0" applyBorder="1"/>
    <xf numFmtId="0" fontId="20" fillId="5" borderId="4" xfId="0" applyFont="1" applyFill="1" applyBorder="1" applyAlignment="1">
      <alignment horizontal="centerContinuous"/>
    </xf>
    <xf numFmtId="172" fontId="2" fillId="12" borderId="13" xfId="0" applyNumberFormat="1" applyFont="1" applyFill="1" applyBorder="1" applyAlignment="1">
      <alignment horizontal="center"/>
    </xf>
    <xf numFmtId="0" fontId="26" fillId="9" borderId="0" xfId="0" applyFont="1" applyFill="1" applyAlignment="1">
      <alignment horizontal="center"/>
    </xf>
    <xf numFmtId="164" fontId="24" fillId="9" borderId="0" xfId="0" applyNumberFormat="1" applyFont="1" applyFill="1" applyAlignment="1">
      <alignment horizontal="center"/>
    </xf>
    <xf numFmtId="164" fontId="25" fillId="11" borderId="0" xfId="0" applyNumberFormat="1" applyFont="1" applyFill="1" applyAlignment="1">
      <alignment horizontal="center"/>
    </xf>
    <xf numFmtId="172" fontId="0" fillId="13" borderId="0" xfId="0" applyNumberFormat="1" applyFill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702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C68DF6C-8EF3-4A58-A7D8-955766CB37A4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13588345-83a4-484c-a521-456e593966f6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idian-capital-research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1539E-91EF-46B1-BCFA-2278371341BD}">
  <dimension ref="B2:K23"/>
  <sheetViews>
    <sheetView showGridLines="0" tabSelected="1" workbookViewId="0"/>
  </sheetViews>
  <sheetFormatPr defaultRowHeight="15.75" x14ac:dyDescent="0.25"/>
  <cols>
    <col min="3" max="3" width="10.75" customWidth="1"/>
    <col min="4" max="4" width="10.125" bestFit="1" customWidth="1"/>
  </cols>
  <sheetData>
    <row r="2" spans="2:11" ht="21" x14ac:dyDescent="0.35">
      <c r="B2" s="316" t="s">
        <v>479</v>
      </c>
      <c r="C2" s="315"/>
      <c r="D2" s="315"/>
      <c r="E2" s="315"/>
      <c r="F2" s="315"/>
      <c r="G2" s="315"/>
      <c r="H2" s="315"/>
      <c r="I2" s="315"/>
      <c r="J2" s="315"/>
      <c r="K2" s="315"/>
    </row>
    <row r="3" spans="2:11" x14ac:dyDescent="0.25">
      <c r="B3" s="6" t="s">
        <v>480</v>
      </c>
    </row>
    <row r="5" spans="2:11" x14ac:dyDescent="0.25">
      <c r="B5" s="95" t="s">
        <v>481</v>
      </c>
    </row>
    <row r="6" spans="2:11" x14ac:dyDescent="0.25">
      <c r="B6" s="318" t="s">
        <v>482</v>
      </c>
      <c r="C6" s="314"/>
      <c r="D6" s="6" t="s">
        <v>492</v>
      </c>
    </row>
    <row r="7" spans="2:11" x14ac:dyDescent="0.25">
      <c r="B7" s="318" t="s">
        <v>483</v>
      </c>
      <c r="C7" s="314"/>
      <c r="D7" s="6" t="s">
        <v>501</v>
      </c>
    </row>
    <row r="8" spans="2:11" x14ac:dyDescent="0.25">
      <c r="B8" s="318" t="s">
        <v>484</v>
      </c>
      <c r="C8" s="314"/>
      <c r="D8" s="6" t="s">
        <v>493</v>
      </c>
    </row>
    <row r="9" spans="2:11" x14ac:dyDescent="0.25">
      <c r="B9" s="318" t="s">
        <v>485</v>
      </c>
      <c r="C9" s="314"/>
      <c r="D9" s="6" t="s">
        <v>494</v>
      </c>
    </row>
    <row r="10" spans="2:11" x14ac:dyDescent="0.25">
      <c r="B10" s="318" t="s">
        <v>486</v>
      </c>
      <c r="C10" s="314"/>
      <c r="D10" s="6" t="s">
        <v>495</v>
      </c>
    </row>
    <row r="11" spans="2:11" x14ac:dyDescent="0.25">
      <c r="B11" s="318" t="s">
        <v>487</v>
      </c>
      <c r="C11" s="314"/>
      <c r="D11" s="6" t="s">
        <v>502</v>
      </c>
    </row>
    <row r="12" spans="2:11" x14ac:dyDescent="0.25">
      <c r="B12" s="318" t="s">
        <v>488</v>
      </c>
      <c r="C12" s="314"/>
      <c r="D12" s="6" t="s">
        <v>503</v>
      </c>
    </row>
    <row r="13" spans="2:11" x14ac:dyDescent="0.25">
      <c r="B13" s="318" t="s">
        <v>489</v>
      </c>
      <c r="C13" s="314"/>
      <c r="D13" s="6" t="s">
        <v>504</v>
      </c>
    </row>
    <row r="14" spans="2:11" x14ac:dyDescent="0.25">
      <c r="B14" s="318" t="s">
        <v>490</v>
      </c>
      <c r="C14" s="314"/>
      <c r="D14" s="6" t="s">
        <v>496</v>
      </c>
    </row>
    <row r="15" spans="2:11" x14ac:dyDescent="0.25">
      <c r="B15" s="318" t="s">
        <v>491</v>
      </c>
      <c r="C15" s="314"/>
      <c r="D15" s="6" t="s">
        <v>497</v>
      </c>
    </row>
    <row r="17" spans="2:4" x14ac:dyDescent="0.25">
      <c r="B17" t="s">
        <v>499</v>
      </c>
    </row>
    <row r="18" spans="2:4" x14ac:dyDescent="0.25">
      <c r="B18" s="317" t="s">
        <v>498</v>
      </c>
    </row>
    <row r="19" spans="2:4" x14ac:dyDescent="0.25">
      <c r="B19" s="317"/>
    </row>
    <row r="20" spans="2:4" x14ac:dyDescent="0.25">
      <c r="B20" s="319" t="s">
        <v>506</v>
      </c>
      <c r="D20" s="320">
        <f>Valuation!D12</f>
        <v>46130</v>
      </c>
    </row>
    <row r="21" spans="2:4" x14ac:dyDescent="0.25">
      <c r="B21" s="317"/>
    </row>
    <row r="22" spans="2:4" x14ac:dyDescent="0.25">
      <c r="B22" t="s">
        <v>500</v>
      </c>
    </row>
    <row r="23" spans="2:4" x14ac:dyDescent="0.25">
      <c r="B23" t="s">
        <v>505</v>
      </c>
    </row>
  </sheetData>
  <hyperlinks>
    <hyperlink ref="B15" location="Valuation!A1" display="Valuation" xr:uid="{5C38730E-9353-4D85-8956-890FE49EA5C4}"/>
    <hyperlink ref="B14" location="'NOI &amp; NDCF'!A1" display="NOI &amp; NDCF" xr:uid="{159215F9-EE87-4C6D-8245-71CAD355F80A}"/>
    <hyperlink ref="B13" location="CF!A1" display="CF" xr:uid="{47F93FC7-4DE2-46A2-B75C-E9B0D8E23650}"/>
    <hyperlink ref="B12" location="BS!A1" display="BS" xr:uid="{3E2C80F7-4105-404C-9490-26F146BAC54C}"/>
    <hyperlink ref="B11" location="'P&amp;L'!A1" display="P&amp;L" xr:uid="{141132E6-6BAD-4EBA-B6C2-A2991D083B93}"/>
    <hyperlink ref="B10" location="'Equity Schedule'!A1" display="Equity Schedule" xr:uid="{466497BD-2893-4052-8406-A42EF40039E5}"/>
    <hyperlink ref="B9" location="'Debt Schedule'!A1" display="Debt Schedule" xr:uid="{BF3051CE-8321-418D-8BE4-42D6F6207A37}"/>
    <hyperlink ref="B8" location="'Asset Schedule'!A1" display="Asset Schedule" xr:uid="{18D5E35A-2CB1-4F7B-AA32-9722BAA84F88}"/>
    <hyperlink ref="B7" location="'Revenue Schedule'!A1" display="Revenue Schedule " xr:uid="{18C40480-51E0-43E2-A755-A59FDF78D649}"/>
    <hyperlink ref="B6" location="'Data &amp; Assumptions'!A1" display="Data &amp; Assumptions" xr:uid="{BD5184F1-A443-447C-87FE-D50DCD6CE133}"/>
    <hyperlink ref="B18" r:id="rId1" xr:uid="{A37B4A92-6491-4747-A6C6-5CDB3B44A4F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95C55-6D49-42FA-BF57-7C3048EFCAAC}">
  <dimension ref="A1:X610"/>
  <sheetViews>
    <sheetView showGridLines="0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5.75" x14ac:dyDescent="0.25"/>
  <cols>
    <col min="1" max="3" width="3.75" customWidth="1"/>
    <col min="4" max="4" width="35.875" customWidth="1"/>
    <col min="13" max="14" width="9.75" bestFit="1" customWidth="1"/>
  </cols>
  <sheetData>
    <row r="1" spans="1:24" x14ac:dyDescent="0.25">
      <c r="A1" s="96" t="s">
        <v>25</v>
      </c>
      <c r="B1" s="97"/>
      <c r="C1" s="97"/>
      <c r="D1" s="97"/>
      <c r="E1" s="98" t="s">
        <v>15</v>
      </c>
      <c r="F1" s="99"/>
      <c r="G1" s="99"/>
      <c r="H1" s="99"/>
      <c r="I1" s="99"/>
      <c r="J1" s="100" t="s">
        <v>16</v>
      </c>
      <c r="K1" s="101"/>
      <c r="L1" s="101"/>
      <c r="M1" s="101"/>
      <c r="N1" s="101"/>
    </row>
    <row r="2" spans="1:24" x14ac:dyDescent="0.25">
      <c r="A2" s="97"/>
      <c r="B2" s="97"/>
      <c r="C2" s="97"/>
      <c r="D2" s="97"/>
      <c r="E2" s="102">
        <v>2021</v>
      </c>
      <c r="F2" s="102">
        <v>2022</v>
      </c>
      <c r="G2" s="102">
        <v>2023</v>
      </c>
      <c r="H2" s="102">
        <v>2024</v>
      </c>
      <c r="I2" s="102">
        <v>2025</v>
      </c>
      <c r="J2" s="103">
        <v>2026</v>
      </c>
      <c r="K2" s="103">
        <v>2027</v>
      </c>
      <c r="L2" s="103">
        <v>2028</v>
      </c>
      <c r="M2" s="103">
        <v>2029</v>
      </c>
      <c r="N2" s="103">
        <v>2030</v>
      </c>
    </row>
    <row r="3" spans="1:24" x14ac:dyDescent="0.25">
      <c r="A3" s="1" t="s">
        <v>375</v>
      </c>
    </row>
    <row r="4" spans="1:24" x14ac:dyDescent="0.25">
      <c r="B4" t="s">
        <v>39</v>
      </c>
      <c r="E4" s="221">
        <f>'Revenue Schedule'!E19</f>
        <v>18475.61</v>
      </c>
      <c r="F4" s="221">
        <f>'Revenue Schedule'!F19</f>
        <v>22162.32</v>
      </c>
      <c r="G4" s="221">
        <f>'Revenue Schedule'!G19</f>
        <v>23798</v>
      </c>
      <c r="H4" s="221">
        <f>'Revenue Schedule'!H19</f>
        <v>25285.61</v>
      </c>
      <c r="I4" s="221">
        <f>'Revenue Schedule'!I19</f>
        <v>28179.86</v>
      </c>
      <c r="J4" s="240">
        <f>'Revenue Schedule'!J19</f>
        <v>32290.150045394541</v>
      </c>
      <c r="K4" s="240">
        <f>'Revenue Schedule'!K19</f>
        <v>36745.342388720492</v>
      </c>
      <c r="L4" s="240">
        <f>'Revenue Schedule'!L19</f>
        <v>45482.332542099502</v>
      </c>
      <c r="M4" s="240">
        <f>'Revenue Schedule'!M19</f>
        <v>49119.789271205787</v>
      </c>
      <c r="N4" s="240">
        <f>'Revenue Schedule'!N19</f>
        <v>53551.7030910873</v>
      </c>
      <c r="O4" s="221"/>
      <c r="P4" s="221"/>
      <c r="Q4" s="221"/>
      <c r="R4" s="221"/>
      <c r="S4" s="221"/>
      <c r="T4" s="221"/>
      <c r="U4" s="221"/>
      <c r="V4" s="221"/>
      <c r="W4" s="221"/>
      <c r="X4" s="221"/>
    </row>
    <row r="5" spans="1:24" x14ac:dyDescent="0.25">
      <c r="B5" t="s">
        <v>376</v>
      </c>
      <c r="E5" s="221">
        <f>'Revenue Schedule'!E22+'Revenue Schedule'!E23+'Revenue Schedule'!E25</f>
        <v>231.45</v>
      </c>
      <c r="F5" s="221">
        <f>'Revenue Schedule'!F22+'Revenue Schedule'!F23+'Revenue Schedule'!F25</f>
        <v>608.70000000000005</v>
      </c>
      <c r="G5" s="221">
        <f>'Revenue Schedule'!G22+'Revenue Schedule'!G23+'Revenue Schedule'!G25</f>
        <v>3393.55</v>
      </c>
      <c r="H5" s="221">
        <f>'Revenue Schedule'!H22+'Revenue Schedule'!H23+'Revenue Schedule'!H25</f>
        <v>4362.71</v>
      </c>
      <c r="I5" s="221">
        <f>'Revenue Schedule'!I22+'Revenue Schedule'!I23+'Revenue Schedule'!I25</f>
        <v>5039.47</v>
      </c>
      <c r="J5" s="240">
        <f>'Revenue Schedule'!J22+'Revenue Schedule'!J23+'Revenue Schedule'!J25</f>
        <v>5400.8277961485601</v>
      </c>
      <c r="K5" s="240">
        <f>'Revenue Schedule'!K22+'Revenue Schedule'!K23+'Revenue Schedule'!K25</f>
        <v>6099.9653193924132</v>
      </c>
      <c r="L5" s="240">
        <f>'Revenue Schedule'!L22+'Revenue Schedule'!L23+'Revenue Schedule'!L25</f>
        <v>7357.0715749579322</v>
      </c>
      <c r="M5" s="240">
        <f>'Revenue Schedule'!M22+'Revenue Schedule'!M23+'Revenue Schedule'!M25</f>
        <v>8165.2547792456025</v>
      </c>
      <c r="N5" s="240">
        <f>'Revenue Schedule'!N22+'Revenue Schedule'!N23+'Revenue Schedule'!N25</f>
        <v>8731.724852799729</v>
      </c>
      <c r="O5" s="221"/>
      <c r="P5" s="221"/>
      <c r="Q5" s="221"/>
      <c r="R5" s="221"/>
      <c r="S5" s="221"/>
      <c r="T5" s="221"/>
      <c r="U5" s="221"/>
      <c r="V5" s="221"/>
      <c r="W5" s="221"/>
      <c r="X5" s="221"/>
    </row>
    <row r="6" spans="1:24" x14ac:dyDescent="0.25">
      <c r="B6" t="s">
        <v>44</v>
      </c>
      <c r="E6" s="221">
        <f>'Revenue Schedule'!E24</f>
        <v>1548.26</v>
      </c>
      <c r="F6" s="221">
        <f>'Revenue Schedule'!F24</f>
        <v>1504.98</v>
      </c>
      <c r="G6" s="221">
        <f>'Revenue Schedule'!G24</f>
        <v>1612.1</v>
      </c>
      <c r="H6" s="221">
        <f>'Revenue Schedule'!H24</f>
        <v>1582.22</v>
      </c>
      <c r="I6" s="221">
        <f>'Revenue Schedule'!I24</f>
        <v>989.94</v>
      </c>
      <c r="J6" s="240">
        <f>'Revenue Schedule'!J24</f>
        <v>1071</v>
      </c>
      <c r="K6" s="240">
        <f>'Revenue Schedule'!K24</f>
        <v>1128.8340000000001</v>
      </c>
      <c r="L6" s="240">
        <f>'Revenue Schedule'!L24</f>
        <v>1188.55296</v>
      </c>
      <c r="M6" s="240">
        <f>'Revenue Schedule'!M24</f>
        <v>1212.3240192000001</v>
      </c>
      <c r="N6" s="240">
        <f>'Revenue Schedule'!N24</f>
        <v>1236.5704995840001</v>
      </c>
      <c r="O6" s="221"/>
      <c r="P6" s="221"/>
      <c r="Q6" s="221"/>
      <c r="R6" s="221"/>
      <c r="S6" s="221"/>
      <c r="T6" s="221"/>
      <c r="U6" s="221"/>
      <c r="V6" s="221"/>
      <c r="W6" s="221"/>
      <c r="X6" s="221"/>
    </row>
    <row r="7" spans="1:24" x14ac:dyDescent="0.25">
      <c r="B7" t="s">
        <v>377</v>
      </c>
      <c r="E7" s="221">
        <f>'Revenue Schedule'!E20+'Revenue Schedule'!E21+'Revenue Schedule'!E26</f>
        <v>3347.88</v>
      </c>
      <c r="F7" s="221">
        <f>'Revenue Schedule'!F20+'Revenue Schedule'!F21+'Revenue Schedule'!F26</f>
        <v>5350.0499999999993</v>
      </c>
      <c r="G7" s="221">
        <f>'Revenue Schedule'!G20+'Revenue Schedule'!G21+'Revenue Schedule'!G26</f>
        <v>5391.7800000000007</v>
      </c>
      <c r="H7" s="221">
        <f>'Revenue Schedule'!H20+'Revenue Schedule'!H21+'Revenue Schedule'!H26</f>
        <v>5621.28</v>
      </c>
      <c r="I7" s="221">
        <f>'Revenue Schedule'!I20+'Revenue Schedule'!I21+'Revenue Schedule'!I26</f>
        <v>6180.05</v>
      </c>
      <c r="J7" s="240">
        <f>'Revenue Schedule'!J20+'Revenue Schedule'!J21+'Revenue Schedule'!J26</f>
        <v>6710.883897955564</v>
      </c>
      <c r="K7" s="240">
        <f>'Revenue Schedule'!K20+'Revenue Schedule'!K21+'Revenue Schedule'!K26</f>
        <v>7694.971080069221</v>
      </c>
      <c r="L7" s="240">
        <f>'Revenue Schedule'!L20+'Revenue Schedule'!L21+'Revenue Schedule'!L26</f>
        <v>9488.8921800374319</v>
      </c>
      <c r="M7" s="240">
        <f>'Revenue Schedule'!M20+'Revenue Schedule'!M21+'Revenue Schedule'!M26</f>
        <v>10142.379214537697</v>
      </c>
      <c r="N7" s="240">
        <f>'Revenue Schedule'!N20+'Revenue Schedule'!N21+'Revenue Schedule'!N26</f>
        <v>11072.402059851396</v>
      </c>
      <c r="O7" s="221"/>
      <c r="P7" s="221"/>
      <c r="Q7" s="221"/>
      <c r="R7" s="221"/>
      <c r="S7" s="221"/>
      <c r="T7" s="221"/>
      <c r="U7" s="221"/>
      <c r="V7" s="221"/>
      <c r="W7" s="221"/>
      <c r="X7" s="221"/>
    </row>
    <row r="8" spans="1:24" x14ac:dyDescent="0.25">
      <c r="A8" s="4" t="s">
        <v>378</v>
      </c>
      <c r="B8" s="3"/>
      <c r="C8" s="3"/>
      <c r="D8" s="3"/>
      <c r="E8" s="231">
        <f t="shared" ref="E8:N8" si="0">SUM(E4:E7)</f>
        <v>23603.200000000001</v>
      </c>
      <c r="F8" s="231">
        <f t="shared" si="0"/>
        <v>29626.05</v>
      </c>
      <c r="G8" s="231">
        <f t="shared" si="0"/>
        <v>34195.43</v>
      </c>
      <c r="H8" s="231">
        <f t="shared" si="0"/>
        <v>36851.82</v>
      </c>
      <c r="I8" s="231">
        <f t="shared" si="0"/>
        <v>40389.320000000007</v>
      </c>
      <c r="J8" s="256">
        <f t="shared" si="0"/>
        <v>45472.861739498665</v>
      </c>
      <c r="K8" s="256">
        <f t="shared" si="0"/>
        <v>51669.112788182123</v>
      </c>
      <c r="L8" s="256">
        <f t="shared" si="0"/>
        <v>63516.849257094866</v>
      </c>
      <c r="M8" s="256">
        <f t="shared" si="0"/>
        <v>68639.747284189085</v>
      </c>
      <c r="N8" s="256">
        <f t="shared" si="0"/>
        <v>74592.400503322424</v>
      </c>
      <c r="O8" s="221"/>
      <c r="P8" s="221"/>
      <c r="Q8" s="221"/>
      <c r="R8" s="221"/>
      <c r="S8" s="221"/>
      <c r="T8" s="221"/>
      <c r="U8" s="221"/>
      <c r="V8" s="221"/>
      <c r="W8" s="221"/>
      <c r="X8" s="221"/>
    </row>
    <row r="9" spans="1:24" x14ac:dyDescent="0.25">
      <c r="B9" t="s">
        <v>379</v>
      </c>
      <c r="E9" s="222">
        <f>-767</f>
        <v>-767</v>
      </c>
      <c r="F9" s="222">
        <f>-1025</f>
        <v>-1025</v>
      </c>
      <c r="G9" s="222">
        <f>-1115</f>
        <v>-1115</v>
      </c>
      <c r="H9" s="222">
        <f>-1197</f>
        <v>-1197</v>
      </c>
      <c r="I9" s="222">
        <f>-1325</f>
        <v>-1325</v>
      </c>
      <c r="J9" s="240">
        <f>-'Data &amp; Assumptions'!J200</f>
        <v>-1518.2633558203543</v>
      </c>
      <c r="K9" s="240">
        <f>-'Data &amp; Assumptions'!K200</f>
        <v>-1727.7438094105028</v>
      </c>
      <c r="L9" s="240">
        <f>-'Data &amp; Assumptions'!L200</f>
        <v>-2138.5518103454679</v>
      </c>
      <c r="M9" s="240">
        <f>-'Data &amp; Assumptions'!M200</f>
        <v>-2309.582829167628</v>
      </c>
      <c r="N9" s="240">
        <f>-'Data &amp; Assumptions'!N200</f>
        <v>-2517.9687406428093</v>
      </c>
      <c r="O9" s="221"/>
      <c r="P9" s="221"/>
      <c r="Q9" s="221"/>
      <c r="R9" s="221"/>
      <c r="S9" s="221"/>
      <c r="T9" s="221"/>
      <c r="U9" s="221"/>
      <c r="V9" s="221"/>
      <c r="W9" s="221"/>
      <c r="X9" s="221"/>
    </row>
    <row r="10" spans="1:24" x14ac:dyDescent="0.25">
      <c r="B10" t="s">
        <v>380</v>
      </c>
      <c r="E10" s="221">
        <f>-'P&amp;L'!E16</f>
        <v>-81.900000000000006</v>
      </c>
      <c r="F10" s="221">
        <f>-'P&amp;L'!F16</f>
        <v>-149.49</v>
      </c>
      <c r="G10" s="221">
        <f>-'P&amp;L'!G16</f>
        <v>-180.34</v>
      </c>
      <c r="H10" s="221">
        <f>-'P&amp;L'!H16</f>
        <v>-174.05</v>
      </c>
      <c r="I10" s="221">
        <f>-'P&amp;L'!I16</f>
        <v>-136.38999999999999</v>
      </c>
      <c r="J10" s="240">
        <f>-'P&amp;L'!J16</f>
        <v>-156.28372762289666</v>
      </c>
      <c r="K10" s="240">
        <f>-'P&amp;L'!K16</f>
        <v>-177.84677597396109</v>
      </c>
      <c r="L10" s="240">
        <f>-'P&amp;L'!L16</f>
        <v>-220.13364634944782</v>
      </c>
      <c r="M10" s="240">
        <f>-'P&amp;L'!M16</f>
        <v>-237.73886948692282</v>
      </c>
      <c r="N10" s="240">
        <f>-'P&amp;L'!N16</f>
        <v>-259.18925021605486</v>
      </c>
      <c r="O10" s="221"/>
      <c r="P10" s="221"/>
      <c r="Q10" s="221"/>
      <c r="R10" s="221"/>
      <c r="S10" s="221"/>
      <c r="T10" s="221"/>
      <c r="U10" s="221"/>
      <c r="V10" s="221"/>
      <c r="W10" s="221"/>
      <c r="X10" s="221"/>
    </row>
    <row r="11" spans="1:24" x14ac:dyDescent="0.25">
      <c r="B11" t="s">
        <v>381</v>
      </c>
      <c r="E11" s="222">
        <f>-2431</f>
        <v>-2431</v>
      </c>
      <c r="F11" s="222">
        <f>-3540</f>
        <v>-3540</v>
      </c>
      <c r="G11" s="222">
        <f>-5237</f>
        <v>-5237</v>
      </c>
      <c r="H11" s="222">
        <f>-5661</f>
        <v>-5661</v>
      </c>
      <c r="I11" s="222">
        <f>-6092</f>
        <v>-6092</v>
      </c>
      <c r="J11" s="240">
        <f>-'Data &amp; Assumptions'!J202</f>
        <v>-6936.0707968784282</v>
      </c>
      <c r="K11" s="240">
        <f>-'Data &amp; Assumptions'!K202</f>
        <v>-7870.5708760181533</v>
      </c>
      <c r="L11" s="240">
        <f>-'Data &amp; Assumptions'!L202</f>
        <v>-9648.0075062459546</v>
      </c>
      <c r="M11" s="240">
        <f>-'Data &amp; Assumptions'!M202</f>
        <v>-10450.523540686783</v>
      </c>
      <c r="N11" s="240">
        <f>-'Data &amp; Assumptions'!N202</f>
        <v>-11349.855764888203</v>
      </c>
      <c r="O11" s="221"/>
      <c r="P11" s="221"/>
      <c r="Q11" s="221"/>
      <c r="R11" s="221"/>
      <c r="S11" s="221"/>
      <c r="T11" s="221"/>
      <c r="U11" s="221"/>
      <c r="V11" s="221"/>
      <c r="W11" s="221"/>
      <c r="X11" s="221"/>
    </row>
    <row r="12" spans="1:24" ht="16.5" thickBot="1" x14ac:dyDescent="0.3">
      <c r="A12" s="11" t="s">
        <v>382</v>
      </c>
      <c r="B12" s="11"/>
      <c r="C12" s="11"/>
      <c r="D12" s="11"/>
      <c r="E12" s="247">
        <f t="shared" ref="E12:N12" si="1">SUM(E8:E11)</f>
        <v>20323.3</v>
      </c>
      <c r="F12" s="247">
        <f t="shared" si="1"/>
        <v>24911.559999999998</v>
      </c>
      <c r="G12" s="247">
        <f t="shared" si="1"/>
        <v>27663.090000000004</v>
      </c>
      <c r="H12" s="247">
        <f t="shared" si="1"/>
        <v>29819.769999999997</v>
      </c>
      <c r="I12" s="247">
        <f t="shared" si="1"/>
        <v>32835.930000000008</v>
      </c>
      <c r="J12" s="249">
        <f t="shared" si="1"/>
        <v>36862.24385917699</v>
      </c>
      <c r="K12" s="249">
        <f t="shared" si="1"/>
        <v>41892.951326779512</v>
      </c>
      <c r="L12" s="249">
        <f t="shared" si="1"/>
        <v>51510.156294154003</v>
      </c>
      <c r="M12" s="249">
        <f t="shared" si="1"/>
        <v>55641.902044847739</v>
      </c>
      <c r="N12" s="249">
        <f t="shared" si="1"/>
        <v>60465.386747575358</v>
      </c>
      <c r="O12" s="221"/>
      <c r="P12" s="221"/>
      <c r="Q12" s="221"/>
      <c r="R12" s="221"/>
      <c r="S12" s="221"/>
      <c r="T12" s="221"/>
      <c r="U12" s="221"/>
      <c r="V12" s="221"/>
      <c r="W12" s="221"/>
      <c r="X12" s="221"/>
    </row>
    <row r="13" spans="1:24" ht="16.5" thickTop="1" x14ac:dyDescent="0.25">
      <c r="B13" t="s">
        <v>383</v>
      </c>
      <c r="E13" s="222">
        <f>-536</f>
        <v>-536</v>
      </c>
      <c r="F13" s="222">
        <f>-670</f>
        <v>-670</v>
      </c>
      <c r="G13" s="222">
        <f>-695</f>
        <v>-695</v>
      </c>
      <c r="H13" s="222">
        <f>-766</f>
        <v>-766</v>
      </c>
      <c r="I13" s="222">
        <f>-851</f>
        <v>-851</v>
      </c>
      <c r="J13" s="240">
        <f>-'Data &amp; Assumptions'!J204</f>
        <v>-975.12612513443128</v>
      </c>
      <c r="K13" s="240">
        <f>-'Data &amp; Assumptions'!K204</f>
        <v>-1109.6679107987457</v>
      </c>
      <c r="L13" s="240">
        <f>-'Data &amp; Assumptions'!L204</f>
        <v>-1373.515162719995</v>
      </c>
      <c r="M13" s="240">
        <f>-'Data &amp; Assumptions'!M204</f>
        <v>-1483.3622548087933</v>
      </c>
      <c r="N13" s="240">
        <f>-'Data &amp; Assumptions'!N204</f>
        <v>-1617.2010553109665</v>
      </c>
      <c r="O13" s="221"/>
      <c r="P13" s="221"/>
      <c r="Q13" s="221"/>
      <c r="R13" s="221"/>
      <c r="S13" s="221"/>
      <c r="T13" s="221"/>
      <c r="U13" s="221"/>
      <c r="V13" s="221"/>
      <c r="W13" s="221"/>
      <c r="X13" s="221"/>
    </row>
    <row r="14" spans="1:24" x14ac:dyDescent="0.25">
      <c r="B14" t="s">
        <v>384</v>
      </c>
      <c r="E14" s="222">
        <f>-127</f>
        <v>-127</v>
      </c>
      <c r="F14" s="222">
        <f>-148</f>
        <v>-148</v>
      </c>
      <c r="G14" s="222">
        <f>-166</f>
        <v>-166</v>
      </c>
      <c r="H14" s="222">
        <f>-79</f>
        <v>-79</v>
      </c>
      <c r="I14" s="222">
        <f>-51</f>
        <v>-51</v>
      </c>
      <c r="J14" s="240">
        <f>-'Data &amp; Assumptions'!J206</f>
        <v>-65</v>
      </c>
      <c r="K14" s="240">
        <f>-'Data &amp; Assumptions'!K206</f>
        <v>-58</v>
      </c>
      <c r="L14" s="240">
        <f>-'Data &amp; Assumptions'!L206</f>
        <v>-61.5</v>
      </c>
      <c r="M14" s="240">
        <f>-'Data &amp; Assumptions'!M206</f>
        <v>-59.75</v>
      </c>
      <c r="N14" s="240">
        <f>-'Data &amp; Assumptions'!N206</f>
        <v>-60.625</v>
      </c>
      <c r="O14" s="221"/>
      <c r="P14" s="221"/>
      <c r="Q14" s="221"/>
      <c r="R14" s="221"/>
      <c r="S14" s="221"/>
      <c r="T14" s="221"/>
      <c r="U14" s="221"/>
      <c r="V14" s="221"/>
      <c r="W14" s="221"/>
      <c r="X14" s="221"/>
    </row>
    <row r="15" spans="1:24" x14ac:dyDescent="0.25">
      <c r="B15" t="s">
        <v>385</v>
      </c>
      <c r="E15" s="222">
        <f>-581</f>
        <v>-581</v>
      </c>
      <c r="F15" s="222">
        <f>-736</f>
        <v>-736</v>
      </c>
      <c r="G15" s="222">
        <f>-871</f>
        <v>-871</v>
      </c>
      <c r="H15" s="222">
        <f>-885</f>
        <v>-885</v>
      </c>
      <c r="I15" s="222">
        <f>-973</f>
        <v>-973</v>
      </c>
      <c r="J15" s="240">
        <f>-'Data &amp; Assumptions'!J207</f>
        <v>-1115.2501713785866</v>
      </c>
      <c r="K15" s="240">
        <f>-'Data &amp; Assumptions'!K207</f>
        <v>-1250.9306461273977</v>
      </c>
      <c r="L15" s="240">
        <f>-'Data &amp; Assumptions'!L207</f>
        <v>-1541.9045982167077</v>
      </c>
      <c r="M15" s="240">
        <f>-'Data &amp; Assumptions'!M207</f>
        <v>-1670.4982619297975</v>
      </c>
      <c r="N15" s="240">
        <f>-'Data &amp; Assumptions'!N207</f>
        <v>-1810.6838027154756</v>
      </c>
      <c r="O15" s="221"/>
      <c r="P15" s="221"/>
      <c r="Q15" s="221"/>
      <c r="R15" s="221"/>
      <c r="S15" s="221"/>
      <c r="T15" s="221"/>
      <c r="U15" s="221"/>
      <c r="V15" s="221"/>
      <c r="W15" s="221"/>
      <c r="X15" s="221"/>
    </row>
    <row r="16" spans="1:24" x14ac:dyDescent="0.25">
      <c r="B16" t="s">
        <v>386</v>
      </c>
      <c r="E16" s="222">
        <v>915</v>
      </c>
      <c r="F16" s="222">
        <v>1400</v>
      </c>
      <c r="G16" s="222">
        <v>920</v>
      </c>
      <c r="H16" s="222">
        <v>700</v>
      </c>
      <c r="I16" s="222">
        <v>1003</v>
      </c>
      <c r="J16" s="240">
        <f>'Data &amp; Assumptions'!J209</f>
        <v>1050.8326218311622</v>
      </c>
      <c r="K16" s="240">
        <f>'Data &amp; Assumptions'!K209</f>
        <v>1100.946360024481</v>
      </c>
      <c r="L16" s="240">
        <f>'Data &amp; Assumptions'!L209</f>
        <v>1153.45</v>
      </c>
      <c r="M16" s="240">
        <f>'Data &amp; Assumptions'!M209</f>
        <v>1208.4575151058366</v>
      </c>
      <c r="N16" s="240">
        <f>'Data &amp; Assumptions'!N209</f>
        <v>1266.088314028153</v>
      </c>
      <c r="O16" s="221"/>
      <c r="P16" s="221"/>
      <c r="Q16" s="221"/>
      <c r="R16" s="221"/>
      <c r="S16" s="221"/>
      <c r="T16" s="221"/>
      <c r="U16" s="221"/>
      <c r="V16" s="221"/>
      <c r="W16" s="221"/>
      <c r="X16" s="221"/>
    </row>
    <row r="17" spans="1:24" x14ac:dyDescent="0.25">
      <c r="B17" t="s">
        <v>2</v>
      </c>
      <c r="E17" s="222">
        <v>1084</v>
      </c>
      <c r="F17" s="222">
        <v>1080</v>
      </c>
      <c r="G17" s="222">
        <v>1006</v>
      </c>
      <c r="H17" s="222">
        <v>1682</v>
      </c>
      <c r="I17" s="222">
        <v>1122</v>
      </c>
      <c r="J17" s="240">
        <f>'Data &amp; Assumptions'!J210</f>
        <v>1285.6539511173112</v>
      </c>
      <c r="K17" s="240">
        <f>'Data &amp; Assumptions'!K210</f>
        <v>1463.0404182328937</v>
      </c>
      <c r="L17" s="240">
        <f>'Data &amp; Assumptions'!L210</f>
        <v>1810.9095329868792</v>
      </c>
      <c r="M17" s="240">
        <f>'Data &amp; Assumptions'!M210</f>
        <v>1955.7373089253422</v>
      </c>
      <c r="N17" s="240">
        <f>'Data &amp; Assumptions'!N210</f>
        <v>2132.1969260386654</v>
      </c>
      <c r="O17" s="221"/>
      <c r="P17" s="221"/>
      <c r="Q17" s="221"/>
      <c r="R17" s="221"/>
      <c r="S17" s="221"/>
      <c r="T17" s="221"/>
      <c r="U17" s="221"/>
      <c r="V17" s="221"/>
      <c r="W17" s="221"/>
      <c r="X17" s="221"/>
    </row>
    <row r="18" spans="1:24" x14ac:dyDescent="0.25">
      <c r="A18" s="4" t="s">
        <v>9</v>
      </c>
      <c r="B18" s="3"/>
      <c r="C18" s="3"/>
      <c r="D18" s="3"/>
      <c r="E18" s="231">
        <f t="shared" ref="E18:N18" si="2">SUM(E12:E17)</f>
        <v>21078.3</v>
      </c>
      <c r="F18" s="231">
        <f t="shared" si="2"/>
        <v>25837.559999999998</v>
      </c>
      <c r="G18" s="231">
        <f t="shared" si="2"/>
        <v>27857.090000000004</v>
      </c>
      <c r="H18" s="231">
        <f t="shared" si="2"/>
        <v>30471.769999999997</v>
      </c>
      <c r="I18" s="231">
        <f t="shared" si="2"/>
        <v>33085.930000000008</v>
      </c>
      <c r="J18" s="256">
        <f t="shared" si="2"/>
        <v>37043.354135612441</v>
      </c>
      <c r="K18" s="256">
        <f t="shared" si="2"/>
        <v>42038.339548110744</v>
      </c>
      <c r="L18" s="256">
        <f t="shared" si="2"/>
        <v>51497.596066204176</v>
      </c>
      <c r="M18" s="256">
        <f t="shared" si="2"/>
        <v>55592.486352140331</v>
      </c>
      <c r="N18" s="256">
        <f t="shared" si="2"/>
        <v>60375.162129615739</v>
      </c>
      <c r="O18" s="221"/>
      <c r="P18" s="221"/>
      <c r="Q18" s="221"/>
      <c r="R18" s="221"/>
      <c r="S18" s="221"/>
      <c r="T18" s="221"/>
      <c r="U18" s="221"/>
      <c r="V18" s="221"/>
      <c r="W18" s="221"/>
      <c r="X18" s="221"/>
    </row>
    <row r="19" spans="1:24" x14ac:dyDescent="0.25">
      <c r="B19" t="s">
        <v>387</v>
      </c>
      <c r="E19" s="222">
        <v>418</v>
      </c>
      <c r="F19" s="222">
        <v>2977</v>
      </c>
      <c r="G19" s="222">
        <v>2540</v>
      </c>
      <c r="H19" s="222">
        <v>473</v>
      </c>
      <c r="I19" s="222">
        <v>1249</v>
      </c>
      <c r="J19" s="240">
        <f>SUM(CF!J21:J27)</f>
        <v>2120.6912920485283</v>
      </c>
      <c r="K19" s="240">
        <f>SUM(CF!K21:K27)</f>
        <v>-640.91828084122199</v>
      </c>
      <c r="L19" s="240">
        <f>SUM(CF!L21:L27)</f>
        <v>3385.5371059101381</v>
      </c>
      <c r="M19" s="240">
        <f>SUM(CF!M21:M27)</f>
        <v>-59.637277467265449</v>
      </c>
      <c r="N19" s="240">
        <f>SUM(CF!N21:N27)</f>
        <v>1008.713828991738</v>
      </c>
      <c r="O19" s="221"/>
      <c r="P19" s="221"/>
      <c r="Q19" s="221"/>
      <c r="R19" s="221"/>
      <c r="S19" s="221"/>
      <c r="T19" s="221"/>
      <c r="U19" s="221"/>
      <c r="V19" s="221"/>
      <c r="W19" s="221"/>
      <c r="X19" s="221"/>
    </row>
    <row r="20" spans="1:24" x14ac:dyDescent="0.25">
      <c r="B20" t="s">
        <v>388</v>
      </c>
      <c r="E20" s="222">
        <f>-522</f>
        <v>-522</v>
      </c>
      <c r="F20" s="222">
        <f>-1670</f>
        <v>-1670</v>
      </c>
      <c r="G20" s="222">
        <f>-1228</f>
        <v>-1228</v>
      </c>
      <c r="H20" s="222">
        <f>-1008</f>
        <v>-1008</v>
      </c>
      <c r="I20" s="222">
        <f>-1384</f>
        <v>-1384</v>
      </c>
      <c r="J20" s="240">
        <f>-'Data &amp; Assumptions'!J214</f>
        <v>-1497.0264662734578</v>
      </c>
      <c r="K20" s="240">
        <f>-'Data &amp; Assumptions'!K214</f>
        <v>-1637.0534168507395</v>
      </c>
      <c r="L20" s="240">
        <f>-'Data &amp; Assumptions'!L214</f>
        <v>-2095.9670232704452</v>
      </c>
      <c r="M20" s="240">
        <f>-'Data &amp; Assumptions'!M214</f>
        <v>-2233.0033430292651</v>
      </c>
      <c r="N20" s="240">
        <f>-'Data &amp; Assumptions'!N214</f>
        <v>-2416.9900681612949</v>
      </c>
      <c r="O20" s="221"/>
      <c r="P20" s="221"/>
      <c r="Q20" s="221"/>
      <c r="R20" s="221"/>
      <c r="S20" s="221"/>
      <c r="T20" s="221"/>
      <c r="U20" s="221"/>
      <c r="V20" s="221"/>
      <c r="W20" s="221"/>
      <c r="X20" s="221"/>
    </row>
    <row r="21" spans="1:24" x14ac:dyDescent="0.25">
      <c r="B21" t="s">
        <v>389</v>
      </c>
      <c r="E21" s="222">
        <f>-133</f>
        <v>-133</v>
      </c>
      <c r="F21" s="222">
        <f>-134</f>
        <v>-134</v>
      </c>
      <c r="G21" s="222">
        <f>-69</f>
        <v>-69</v>
      </c>
      <c r="H21" s="222">
        <f>-3</f>
        <v>-3</v>
      </c>
      <c r="I21" s="222">
        <v>0</v>
      </c>
      <c r="J21" s="240">
        <f>-'Data &amp; Assumptions'!J215</f>
        <v>0</v>
      </c>
      <c r="K21" s="240">
        <f>-'Data &amp; Assumptions'!K215</f>
        <v>0</v>
      </c>
      <c r="L21" s="240">
        <f>-'Data &amp; Assumptions'!L215</f>
        <v>0</v>
      </c>
      <c r="M21" s="240">
        <f>-'Data &amp; Assumptions'!M215</f>
        <v>0</v>
      </c>
      <c r="N21" s="240">
        <f>-'Data &amp; Assumptions'!N215</f>
        <v>0</v>
      </c>
      <c r="O21" s="221"/>
      <c r="P21" s="221"/>
      <c r="Q21" s="221"/>
      <c r="R21" s="221"/>
      <c r="S21" s="221"/>
      <c r="T21" s="221"/>
      <c r="U21" s="221"/>
      <c r="V21" s="221"/>
      <c r="W21" s="221"/>
      <c r="X21" s="221"/>
    </row>
    <row r="22" spans="1:24" x14ac:dyDescent="0.25">
      <c r="B22" t="s">
        <v>390</v>
      </c>
      <c r="E22" s="222">
        <f>-1422</f>
        <v>-1422</v>
      </c>
      <c r="F22" s="222">
        <f>-1848</f>
        <v>-1848</v>
      </c>
      <c r="G22" s="222">
        <f>-3329</f>
        <v>-3329</v>
      </c>
      <c r="H22" s="222">
        <f>-3333</f>
        <v>-3333</v>
      </c>
      <c r="I22" s="222">
        <f>-5983</f>
        <v>-5983</v>
      </c>
      <c r="J22" s="240">
        <f>-'Data &amp; Assumptions'!J216</f>
        <v>-6706.4606986661265</v>
      </c>
      <c r="K22" s="240">
        <f>-'Data &amp; Assumptions'!K216</f>
        <v>-7377.9312983679047</v>
      </c>
      <c r="L22" s="240">
        <f>-'Data &amp; Assumptions'!L216</f>
        <v>-7948.2786669859988</v>
      </c>
      <c r="M22" s="240">
        <f>-'Data &amp; Assumptions'!M216</f>
        <v>-8508.0004011669826</v>
      </c>
      <c r="N22" s="240">
        <f>-'Data &amp; Assumptions'!N216</f>
        <v>-9106.2187533578763</v>
      </c>
      <c r="O22" s="221"/>
      <c r="P22" s="221"/>
      <c r="Q22" s="221"/>
      <c r="R22" s="221"/>
      <c r="S22" s="221"/>
      <c r="T22" s="221"/>
      <c r="U22" s="221"/>
      <c r="V22" s="221"/>
      <c r="W22" s="221"/>
      <c r="X22" s="221"/>
    </row>
    <row r="23" spans="1:24" x14ac:dyDescent="0.25">
      <c r="B23" t="s">
        <v>362</v>
      </c>
      <c r="E23" s="222">
        <f>-679</f>
        <v>-679</v>
      </c>
      <c r="F23" s="222">
        <f>-376</f>
        <v>-376</v>
      </c>
      <c r="G23" s="222">
        <f>-711</f>
        <v>-711</v>
      </c>
      <c r="H23" s="222">
        <f>-1055</f>
        <v>-1055</v>
      </c>
      <c r="I23" s="222">
        <v>0</v>
      </c>
      <c r="J23" s="240">
        <f>-'Data &amp; Assumptions'!J218</f>
        <v>0</v>
      </c>
      <c r="K23" s="240">
        <f>-'Data &amp; Assumptions'!K218</f>
        <v>0</v>
      </c>
      <c r="L23" s="240">
        <f>-'Data &amp; Assumptions'!L218</f>
        <v>0</v>
      </c>
      <c r="M23" s="240">
        <f>-'Data &amp; Assumptions'!M218</f>
        <v>0</v>
      </c>
      <c r="N23" s="240">
        <f>-'Data &amp; Assumptions'!N218</f>
        <v>0</v>
      </c>
      <c r="O23" s="221"/>
      <c r="P23" s="221"/>
      <c r="Q23" s="221"/>
      <c r="R23" s="221"/>
      <c r="S23" s="221"/>
      <c r="T23" s="221"/>
      <c r="U23" s="221"/>
      <c r="V23" s="221"/>
      <c r="W23" s="221"/>
      <c r="X23" s="221"/>
    </row>
    <row r="24" spans="1:24" ht="16.5" thickBot="1" x14ac:dyDescent="0.3">
      <c r="A24" s="11" t="s">
        <v>391</v>
      </c>
      <c r="B24" s="11"/>
      <c r="C24" s="11"/>
      <c r="D24" s="11"/>
      <c r="E24" s="247">
        <f t="shared" ref="E24:N24" si="3">SUM(E18:E23)</f>
        <v>18740.3</v>
      </c>
      <c r="F24" s="247">
        <f t="shared" si="3"/>
        <v>24786.559999999998</v>
      </c>
      <c r="G24" s="247">
        <f t="shared" si="3"/>
        <v>25060.090000000004</v>
      </c>
      <c r="H24" s="247">
        <f t="shared" si="3"/>
        <v>25545.769999999997</v>
      </c>
      <c r="I24" s="247">
        <f t="shared" si="3"/>
        <v>26967.930000000008</v>
      </c>
      <c r="J24" s="249">
        <f t="shared" si="3"/>
        <v>30960.558262721384</v>
      </c>
      <c r="K24" s="249">
        <f t="shared" si="3"/>
        <v>32382.43655205088</v>
      </c>
      <c r="L24" s="249">
        <f t="shared" si="3"/>
        <v>44838.88748185787</v>
      </c>
      <c r="M24" s="249">
        <f t="shared" si="3"/>
        <v>44791.845330476819</v>
      </c>
      <c r="N24" s="249">
        <f t="shared" si="3"/>
        <v>49860.667137088305</v>
      </c>
      <c r="O24" s="221"/>
      <c r="P24" s="221"/>
      <c r="Q24" s="221"/>
      <c r="R24" s="221"/>
      <c r="S24" s="221"/>
      <c r="T24" s="221"/>
      <c r="U24" s="221"/>
      <c r="V24" s="221"/>
      <c r="W24" s="221"/>
      <c r="X24" s="221"/>
    </row>
    <row r="25" spans="1:24" ht="16.5" thickTop="1" x14ac:dyDescent="0.25">
      <c r="A25" t="s">
        <v>392</v>
      </c>
      <c r="E25" s="222">
        <v>18862</v>
      </c>
      <c r="F25" s="222">
        <v>24814</v>
      </c>
      <c r="G25" s="222">
        <v>25001</v>
      </c>
      <c r="H25" s="222">
        <v>25756</v>
      </c>
      <c r="I25" s="222">
        <v>26956</v>
      </c>
      <c r="J25" s="240">
        <f>'Data &amp; Assumptions'!J220*J24</f>
        <v>30946.862014619488</v>
      </c>
      <c r="K25" s="240">
        <f>'Data &amp; Assumptions'!K220*K24</f>
        <v>32368.111297273586</v>
      </c>
      <c r="L25" s="240">
        <f>'Data &amp; Assumptions'!L220*L24</f>
        <v>44819.051775978369</v>
      </c>
      <c r="M25" s="240">
        <f>'Data &amp; Assumptions'!M220*M24</f>
        <v>44772.030434977132</v>
      </c>
      <c r="N25" s="240">
        <f>'Data &amp; Assumptions'!N220*N24</f>
        <v>49838.609909894898</v>
      </c>
      <c r="O25" s="221"/>
      <c r="P25" s="221"/>
      <c r="Q25" s="221"/>
      <c r="R25" s="221"/>
      <c r="S25" s="221"/>
      <c r="T25" s="221"/>
      <c r="U25" s="221"/>
      <c r="V25" s="221"/>
      <c r="W25" s="221"/>
      <c r="X25" s="221"/>
    </row>
    <row r="26" spans="1:24" x14ac:dyDescent="0.25">
      <c r="B26" t="s">
        <v>393</v>
      </c>
      <c r="E26" s="222">
        <v>738</v>
      </c>
      <c r="F26" s="222">
        <v>0</v>
      </c>
      <c r="G26" s="222">
        <v>2070</v>
      </c>
      <c r="H26" s="222">
        <v>2074</v>
      </c>
      <c r="I26" s="222">
        <v>1728</v>
      </c>
      <c r="J26" s="240">
        <f>'Data &amp; Assumptions'!J221</f>
        <v>1810.4075478806064</v>
      </c>
      <c r="K26" s="240">
        <f>'Data &amp; Assumptions'!K221</f>
        <v>1896.74507489761</v>
      </c>
      <c r="L26" s="240">
        <f>'Data &amp; Assumptions'!L221</f>
        <v>1987.1999999999996</v>
      </c>
      <c r="M26" s="240">
        <f>'Data &amp; Assumptions'!M221</f>
        <v>2081.9686800626969</v>
      </c>
      <c r="N26" s="240">
        <f>'Data &amp; Assumptions'!N221</f>
        <v>2181.256836132251</v>
      </c>
      <c r="O26" s="221"/>
      <c r="P26" s="221"/>
      <c r="Q26" s="221"/>
      <c r="R26" s="221"/>
      <c r="S26" s="221"/>
      <c r="T26" s="221"/>
      <c r="U26" s="221"/>
      <c r="V26" s="221"/>
      <c r="W26" s="221"/>
      <c r="X26" s="221"/>
    </row>
    <row r="27" spans="1:24" x14ac:dyDescent="0.25">
      <c r="B27" t="s">
        <v>390</v>
      </c>
      <c r="E27" s="222">
        <f>-914</f>
        <v>-914</v>
      </c>
      <c r="F27" s="222">
        <f>-3820</f>
        <v>-3820</v>
      </c>
      <c r="G27" s="222">
        <f>-6018</f>
        <v>-6018</v>
      </c>
      <c r="H27" s="222">
        <f>-7207</f>
        <v>-7207</v>
      </c>
      <c r="I27" s="222">
        <f>-6426</f>
        <v>-6426</v>
      </c>
      <c r="J27" s="240">
        <f>-'Data &amp; Assumptions'!J222</f>
        <v>-7203.0279875695351</v>
      </c>
      <c r="K27" s="240">
        <f>-'Data &amp; Assumptions'!K222</f>
        <v>-7924.2163669249803</v>
      </c>
      <c r="L27" s="240">
        <f>-'Data &amp; Assumptions'!L222</f>
        <v>-8536.7940354424245</v>
      </c>
      <c r="M27" s="240">
        <f>-'Data &amp; Assumptions'!M222</f>
        <v>-9137.9593143738985</v>
      </c>
      <c r="N27" s="240">
        <f>-'Data &amp; Assumptions'!N222</f>
        <v>-9780.4716211060877</v>
      </c>
      <c r="O27" s="221"/>
      <c r="P27" s="221"/>
      <c r="Q27" s="221"/>
      <c r="R27" s="221"/>
      <c r="S27" s="221"/>
      <c r="T27" s="221"/>
      <c r="U27" s="221"/>
      <c r="V27" s="221"/>
      <c r="W27" s="221"/>
      <c r="X27" s="221"/>
    </row>
    <row r="28" spans="1:24" x14ac:dyDescent="0.25">
      <c r="B28" t="s">
        <v>394</v>
      </c>
      <c r="E28" s="222">
        <f>-212</f>
        <v>-212</v>
      </c>
      <c r="F28" s="222">
        <f>-254</f>
        <v>-254</v>
      </c>
      <c r="G28" s="222">
        <f>-239</f>
        <v>-239</v>
      </c>
      <c r="H28" s="222">
        <f>-238</f>
        <v>-238</v>
      </c>
      <c r="I28" s="222">
        <f>-258</f>
        <v>-258</v>
      </c>
      <c r="J28" s="240">
        <f>-(J25+J26+J27+J29+J30)*'Data &amp; Assumptions'!J224/(1+'Data &amp; Assumptions'!J224)</f>
        <v>-295.96573777620273</v>
      </c>
      <c r="K28" s="240">
        <f>-(K25+K26+K27+K29+K30)*'Data &amp; Assumptions'!K224/(1+'Data &amp; Assumptions'!K224)</f>
        <v>-304.93512801358821</v>
      </c>
      <c r="L28" s="240">
        <f>-(L25+L26+L27+L29+L30)*'Data &amp; Assumptions'!L224/(1+'Data &amp; Assumptions'!L224)</f>
        <v>-443.39805128840203</v>
      </c>
      <c r="M28" s="240">
        <f>-(M25+M26+M27+M29+M30)*'Data &amp; Assumptions'!M224/(1+'Data &amp; Assumptions'!M224)</f>
        <v>-436.75632925973201</v>
      </c>
      <c r="N28" s="240">
        <f>-(N25+N26+N27+N29+N30)*'Data &amp; Assumptions'!N224/(1+'Data &amp; Assumptions'!N224)</f>
        <v>-489.28568657831977</v>
      </c>
      <c r="O28" s="221"/>
      <c r="P28" s="221"/>
      <c r="Q28" s="221"/>
      <c r="R28" s="221"/>
      <c r="S28" s="221"/>
      <c r="T28" s="221"/>
      <c r="U28" s="221"/>
      <c r="V28" s="221"/>
      <c r="W28" s="221"/>
      <c r="X28" s="221"/>
    </row>
    <row r="29" spans="1:24" x14ac:dyDescent="0.25">
      <c r="B29" t="s">
        <v>395</v>
      </c>
      <c r="E29" s="222">
        <f>-117</f>
        <v>-117</v>
      </c>
      <c r="F29" s="222">
        <f>-102</f>
        <v>-102</v>
      </c>
      <c r="G29" s="222">
        <f>-205</f>
        <v>-205</v>
      </c>
      <c r="H29" s="222">
        <f>-138</f>
        <v>-138</v>
      </c>
      <c r="I29" s="222">
        <f>-240</f>
        <v>-240</v>
      </c>
      <c r="J29" s="240">
        <f>-'Data &amp; Assumptions'!J225</f>
        <v>-237.6994548413463</v>
      </c>
      <c r="K29" s="240">
        <f>-'Data &amp; Assumptions'!K225</f>
        <v>-256.86736907614676</v>
      </c>
      <c r="L29" s="240">
        <f>-'Data &amp; Assumptions'!L225</f>
        <v>-341.73838439740416</v>
      </c>
      <c r="M29" s="240">
        <f>-'Data &amp; Assumptions'!M225</f>
        <v>-356.44510906505639</v>
      </c>
      <c r="N29" s="240">
        <f>-'Data &amp; Assumptions'!N225</f>
        <v>-386.50436097943742</v>
      </c>
      <c r="O29" s="221"/>
      <c r="P29" s="221"/>
      <c r="Q29" s="221"/>
      <c r="R29" s="221"/>
      <c r="S29" s="221"/>
      <c r="T29" s="221"/>
      <c r="U29" s="221"/>
      <c r="V29" s="221"/>
      <c r="W29" s="221"/>
      <c r="X29" s="221"/>
    </row>
    <row r="30" spans="1:24" x14ac:dyDescent="0.25">
      <c r="B30" t="s">
        <v>387</v>
      </c>
      <c r="E30" s="222">
        <v>0</v>
      </c>
      <c r="F30" s="222">
        <v>0</v>
      </c>
      <c r="G30" s="222">
        <v>0</v>
      </c>
      <c r="H30" s="222"/>
      <c r="I30" s="222">
        <v>85</v>
      </c>
      <c r="J30" s="240">
        <v>0</v>
      </c>
      <c r="K30" s="240">
        <v>0</v>
      </c>
      <c r="L30" s="240">
        <v>0</v>
      </c>
      <c r="M30" s="240">
        <v>0</v>
      </c>
      <c r="N30" s="240">
        <v>0</v>
      </c>
      <c r="O30" s="221"/>
      <c r="P30" s="221"/>
      <c r="Q30" s="221"/>
      <c r="R30" s="221"/>
      <c r="S30" s="221"/>
      <c r="T30" s="221"/>
      <c r="U30" s="221"/>
      <c r="V30" s="221"/>
      <c r="W30" s="221"/>
      <c r="X30" s="221"/>
    </row>
    <row r="31" spans="1:24" ht="16.5" thickBot="1" x14ac:dyDescent="0.3">
      <c r="A31" s="11" t="s">
        <v>396</v>
      </c>
      <c r="B31" s="11"/>
      <c r="C31" s="11"/>
      <c r="D31" s="11"/>
      <c r="E31" s="247">
        <f>SUM(E25:E30)</f>
        <v>18357</v>
      </c>
      <c r="F31" s="247">
        <f t="shared" ref="F31:N31" si="4">SUM(F25:F30)</f>
        <v>20638</v>
      </c>
      <c r="G31" s="247">
        <f t="shared" si="4"/>
        <v>20609</v>
      </c>
      <c r="H31" s="247">
        <f t="shared" si="4"/>
        <v>20247</v>
      </c>
      <c r="I31" s="247">
        <f t="shared" si="4"/>
        <v>21845</v>
      </c>
      <c r="J31" s="249">
        <f t="shared" si="4"/>
        <v>25020.576382313015</v>
      </c>
      <c r="K31" s="249">
        <f t="shared" si="4"/>
        <v>25778.837508156485</v>
      </c>
      <c r="L31" s="249">
        <f t="shared" si="4"/>
        <v>37484.321304850142</v>
      </c>
      <c r="M31" s="249">
        <f t="shared" si="4"/>
        <v>36922.838362341143</v>
      </c>
      <c r="N31" s="249">
        <f t="shared" si="4"/>
        <v>41363.605077363303</v>
      </c>
      <c r="O31" s="221"/>
      <c r="P31" s="221"/>
      <c r="Q31" s="221"/>
      <c r="R31" s="221"/>
      <c r="S31" s="221"/>
      <c r="T31" s="221"/>
      <c r="U31" s="221"/>
      <c r="V31" s="221"/>
      <c r="W31" s="221"/>
      <c r="X31" s="221"/>
    </row>
    <row r="32" spans="1:24" ht="16.5" thickTop="1" x14ac:dyDescent="0.25"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</row>
    <row r="33" spans="1:24" x14ac:dyDescent="0.25">
      <c r="A33" s="1" t="s">
        <v>397</v>
      </c>
      <c r="E33" s="221">
        <f>'Equity Schedule'!E5</f>
        <v>18364</v>
      </c>
      <c r="F33" s="221">
        <f>'Equity Schedule'!F5</f>
        <v>20626</v>
      </c>
      <c r="G33" s="221">
        <f>'Equity Schedule'!G5</f>
        <v>20579</v>
      </c>
      <c r="H33" s="221">
        <f>'Equity Schedule'!H5</f>
        <v>20219</v>
      </c>
      <c r="I33" s="221">
        <f>'Equity Schedule'!I5</f>
        <v>21811</v>
      </c>
      <c r="J33" s="240">
        <f t="shared" ref="J33:N33" si="5">J39*J31</f>
        <v>23769.547563197364</v>
      </c>
      <c r="K33" s="240">
        <f t="shared" si="5"/>
        <v>24489.895632748659</v>
      </c>
      <c r="L33" s="240">
        <f t="shared" si="5"/>
        <v>35610.105239607634</v>
      </c>
      <c r="M33" s="240">
        <f t="shared" si="5"/>
        <v>35076.696444224086</v>
      </c>
      <c r="N33" s="240">
        <f t="shared" si="5"/>
        <v>39295.424823495137</v>
      </c>
      <c r="O33" s="221"/>
      <c r="P33" s="221"/>
      <c r="Q33" s="221"/>
      <c r="R33" s="221"/>
      <c r="S33" s="221"/>
      <c r="T33" s="221"/>
      <c r="U33" s="221"/>
      <c r="V33" s="221"/>
      <c r="W33" s="221"/>
      <c r="X33" s="221"/>
    </row>
    <row r="34" spans="1:24" hidden="1" x14ac:dyDescent="0.25">
      <c r="B34" t="s">
        <v>398</v>
      </c>
      <c r="E34" s="222">
        <v>6217</v>
      </c>
      <c r="F34" s="222">
        <v>3649</v>
      </c>
      <c r="G34" s="222">
        <v>2901</v>
      </c>
      <c r="H34" s="222">
        <v>4294</v>
      </c>
      <c r="I34" s="222">
        <v>2436</v>
      </c>
      <c r="J34" s="240"/>
      <c r="K34" s="240"/>
      <c r="L34" s="240"/>
      <c r="M34" s="240"/>
      <c r="N34" s="240"/>
      <c r="O34" s="221"/>
      <c r="P34" s="221"/>
      <c r="Q34" s="221"/>
      <c r="R34" s="221"/>
      <c r="S34" s="221"/>
      <c r="T34" s="221"/>
      <c r="U34" s="221"/>
      <c r="V34" s="221"/>
      <c r="W34" s="221"/>
      <c r="X34" s="221"/>
    </row>
    <row r="35" spans="1:24" hidden="1" x14ac:dyDescent="0.25">
      <c r="B35" t="s">
        <v>399</v>
      </c>
      <c r="E35" s="222">
        <v>2716</v>
      </c>
      <c r="F35" s="222">
        <v>9337</v>
      </c>
      <c r="G35" s="222">
        <v>9545</v>
      </c>
      <c r="H35" s="222">
        <v>6882</v>
      </c>
      <c r="I35" s="222">
        <v>6522</v>
      </c>
      <c r="J35" s="240"/>
      <c r="K35" s="240"/>
      <c r="L35" s="240"/>
      <c r="M35" s="240"/>
      <c r="N35" s="240"/>
      <c r="O35" s="221"/>
      <c r="P35" s="221"/>
      <c r="Q35" s="221"/>
      <c r="R35" s="221"/>
      <c r="S35" s="221"/>
      <c r="T35" s="221"/>
      <c r="U35" s="221"/>
      <c r="V35" s="221"/>
      <c r="W35" s="221"/>
      <c r="X35" s="221"/>
    </row>
    <row r="36" spans="1:24" hidden="1" x14ac:dyDescent="0.25">
      <c r="B36" t="s">
        <v>400</v>
      </c>
      <c r="E36" s="222">
        <v>9431</v>
      </c>
      <c r="F36" s="222">
        <v>7640</v>
      </c>
      <c r="G36" s="222">
        <v>0</v>
      </c>
      <c r="H36" s="222">
        <v>0</v>
      </c>
      <c r="I36" s="222">
        <v>0</v>
      </c>
      <c r="J36" s="240"/>
      <c r="K36" s="240"/>
      <c r="L36" s="240"/>
      <c r="M36" s="240"/>
      <c r="N36" s="240"/>
      <c r="O36" s="221"/>
      <c r="P36" s="221"/>
      <c r="Q36" s="221"/>
      <c r="R36" s="221"/>
      <c r="S36" s="221"/>
      <c r="T36" s="221"/>
      <c r="U36" s="221"/>
      <c r="V36" s="221"/>
      <c r="W36" s="221"/>
      <c r="X36" s="221"/>
    </row>
    <row r="37" spans="1:24" hidden="1" x14ac:dyDescent="0.25">
      <c r="B37" t="s">
        <v>401</v>
      </c>
      <c r="E37" s="222">
        <v>0</v>
      </c>
      <c r="F37" s="222">
        <v>0</v>
      </c>
      <c r="G37" s="222">
        <v>8133</v>
      </c>
      <c r="H37" s="222">
        <v>9033</v>
      </c>
      <c r="I37" s="222">
        <v>12853</v>
      </c>
      <c r="J37" s="240"/>
      <c r="K37" s="240"/>
      <c r="L37" s="240"/>
      <c r="M37" s="240"/>
      <c r="N37" s="240"/>
      <c r="O37" s="221"/>
      <c r="P37" s="221"/>
      <c r="Q37" s="221"/>
      <c r="R37" s="221"/>
      <c r="S37" s="221"/>
      <c r="T37" s="221"/>
      <c r="U37" s="221"/>
      <c r="V37" s="221"/>
      <c r="W37" s="221"/>
      <c r="X37" s="221"/>
    </row>
    <row r="38" spans="1:24" hidden="1" x14ac:dyDescent="0.25">
      <c r="B38" t="s">
        <v>2</v>
      </c>
      <c r="E38" s="222">
        <v>0</v>
      </c>
      <c r="F38" s="222">
        <v>0</v>
      </c>
      <c r="G38" s="222">
        <v>0</v>
      </c>
      <c r="H38" s="222">
        <v>9</v>
      </c>
      <c r="I38" s="222">
        <v>0</v>
      </c>
      <c r="J38" s="240"/>
      <c r="K38" s="240"/>
      <c r="L38" s="240"/>
      <c r="M38" s="240"/>
      <c r="N38" s="240"/>
      <c r="O38" s="221"/>
      <c r="P38" s="221"/>
      <c r="Q38" s="221"/>
      <c r="R38" s="221"/>
      <c r="S38" s="221"/>
      <c r="T38" s="221"/>
      <c r="U38" s="221"/>
      <c r="V38" s="221"/>
      <c r="W38" s="221"/>
      <c r="X38" s="221"/>
    </row>
    <row r="39" spans="1:24" x14ac:dyDescent="0.25">
      <c r="B39" s="6" t="s">
        <v>430</v>
      </c>
      <c r="E39" s="224">
        <f t="shared" ref="E39:I39" si="6">E33/E31</f>
        <v>1.0003813259247154</v>
      </c>
      <c r="F39" s="224">
        <f t="shared" si="6"/>
        <v>0.99941854830894461</v>
      </c>
      <c r="G39" s="224">
        <f t="shared" si="6"/>
        <v>0.9985443252947741</v>
      </c>
      <c r="H39" s="224">
        <f t="shared" si="6"/>
        <v>0.99861707907344299</v>
      </c>
      <c r="I39" s="224">
        <f t="shared" si="6"/>
        <v>0.99844357976653697</v>
      </c>
      <c r="J39" s="313">
        <v>0.95</v>
      </c>
      <c r="K39" s="313">
        <f t="shared" ref="K39:N39" si="7">J39</f>
        <v>0.95</v>
      </c>
      <c r="L39" s="313">
        <f t="shared" si="7"/>
        <v>0.95</v>
      </c>
      <c r="M39" s="313">
        <f t="shared" si="7"/>
        <v>0.95</v>
      </c>
      <c r="N39" s="313">
        <f t="shared" si="7"/>
        <v>0.95</v>
      </c>
      <c r="O39" s="221"/>
      <c r="P39" s="221"/>
      <c r="Q39" s="221"/>
      <c r="R39" s="221"/>
      <c r="S39" s="221"/>
      <c r="T39" s="221"/>
      <c r="U39" s="221"/>
      <c r="V39" s="221"/>
      <c r="W39" s="221"/>
      <c r="X39" s="221"/>
    </row>
    <row r="40" spans="1:24" x14ac:dyDescent="0.25"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</row>
    <row r="41" spans="1:24" x14ac:dyDescent="0.25"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</row>
    <row r="42" spans="1:24" x14ac:dyDescent="0.25"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</row>
    <row r="43" spans="1:24" x14ac:dyDescent="0.25"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</row>
    <row r="44" spans="1:24" x14ac:dyDescent="0.25"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</row>
    <row r="45" spans="1:24" x14ac:dyDescent="0.25"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</row>
    <row r="46" spans="1:24" x14ac:dyDescent="0.25"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</row>
    <row r="47" spans="1:24" x14ac:dyDescent="0.25"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</row>
    <row r="48" spans="1:24" x14ac:dyDescent="0.25"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</row>
    <row r="49" spans="5:24" x14ac:dyDescent="0.25"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</row>
    <row r="50" spans="5:24" x14ac:dyDescent="0.25"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</row>
    <row r="51" spans="5:24" x14ac:dyDescent="0.25"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</row>
    <row r="52" spans="5:24" x14ac:dyDescent="0.25"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</row>
    <row r="53" spans="5:24" x14ac:dyDescent="0.25"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</row>
    <row r="54" spans="5:24" x14ac:dyDescent="0.25"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</row>
    <row r="55" spans="5:24" x14ac:dyDescent="0.25"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</row>
    <row r="56" spans="5:24" x14ac:dyDescent="0.25"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</row>
    <row r="57" spans="5:24" x14ac:dyDescent="0.25"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</row>
    <row r="58" spans="5:24" x14ac:dyDescent="0.25"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  <c r="X58" s="221"/>
    </row>
    <row r="59" spans="5:24" x14ac:dyDescent="0.25"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</row>
    <row r="60" spans="5:24" x14ac:dyDescent="0.25"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</row>
    <row r="61" spans="5:24" x14ac:dyDescent="0.25"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</row>
    <row r="62" spans="5:24" x14ac:dyDescent="0.25"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</row>
    <row r="63" spans="5:24" x14ac:dyDescent="0.25"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</row>
    <row r="64" spans="5:24" x14ac:dyDescent="0.25"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</row>
    <row r="65" spans="5:24" x14ac:dyDescent="0.25"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</row>
    <row r="66" spans="5:24" x14ac:dyDescent="0.25"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</row>
    <row r="67" spans="5:24" x14ac:dyDescent="0.25"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</row>
    <row r="68" spans="5:24" x14ac:dyDescent="0.25"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</row>
    <row r="69" spans="5:24" x14ac:dyDescent="0.25"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</row>
    <row r="70" spans="5:24" x14ac:dyDescent="0.25"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</row>
    <row r="71" spans="5:24" x14ac:dyDescent="0.25"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</row>
    <row r="72" spans="5:24" x14ac:dyDescent="0.25"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</row>
    <row r="73" spans="5:24" x14ac:dyDescent="0.25"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</row>
    <row r="74" spans="5:24" x14ac:dyDescent="0.25"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</row>
    <row r="75" spans="5:24" x14ac:dyDescent="0.25"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</row>
    <row r="76" spans="5:24" x14ac:dyDescent="0.25"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</row>
    <row r="77" spans="5:24" x14ac:dyDescent="0.25"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</row>
    <row r="78" spans="5:24" x14ac:dyDescent="0.25"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</row>
    <row r="79" spans="5:24" x14ac:dyDescent="0.25"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</row>
    <row r="80" spans="5:24" x14ac:dyDescent="0.25"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</row>
    <row r="81" spans="5:24" x14ac:dyDescent="0.25"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</row>
    <row r="82" spans="5:24" x14ac:dyDescent="0.25"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</row>
    <row r="83" spans="5:24" x14ac:dyDescent="0.25"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</row>
    <row r="84" spans="5:24" x14ac:dyDescent="0.25"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</row>
    <row r="85" spans="5:24" x14ac:dyDescent="0.25"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</row>
    <row r="86" spans="5:24" x14ac:dyDescent="0.25"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</row>
    <row r="87" spans="5:24" x14ac:dyDescent="0.25"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</row>
    <row r="88" spans="5:24" x14ac:dyDescent="0.25"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</row>
    <row r="89" spans="5:24" x14ac:dyDescent="0.25"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</row>
    <row r="90" spans="5:24" x14ac:dyDescent="0.25"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</row>
    <row r="91" spans="5:24" x14ac:dyDescent="0.25"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</row>
    <row r="92" spans="5:24" x14ac:dyDescent="0.25"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</row>
    <row r="93" spans="5:24" x14ac:dyDescent="0.25"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</row>
    <row r="94" spans="5:24" x14ac:dyDescent="0.25"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</row>
    <row r="95" spans="5:24" x14ac:dyDescent="0.25"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</row>
    <row r="96" spans="5:24" x14ac:dyDescent="0.25"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</row>
    <row r="97" spans="5:24" x14ac:dyDescent="0.25"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</row>
    <row r="98" spans="5:24" x14ac:dyDescent="0.25"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</row>
    <row r="99" spans="5:24" x14ac:dyDescent="0.25"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</row>
    <row r="100" spans="5:24" x14ac:dyDescent="0.25"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</row>
    <row r="101" spans="5:24" x14ac:dyDescent="0.25"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</row>
    <row r="102" spans="5:24" x14ac:dyDescent="0.25"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</row>
    <row r="103" spans="5:24" x14ac:dyDescent="0.25"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</row>
    <row r="104" spans="5:24" x14ac:dyDescent="0.25"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</row>
    <row r="105" spans="5:24" x14ac:dyDescent="0.25">
      <c r="E105" s="221"/>
      <c r="F105" s="221"/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</row>
    <row r="106" spans="5:24" x14ac:dyDescent="0.25">
      <c r="E106" s="221"/>
      <c r="F106" s="221"/>
      <c r="G106" s="221"/>
      <c r="H106" s="221"/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</row>
    <row r="107" spans="5:24" x14ac:dyDescent="0.25">
      <c r="E107" s="221"/>
      <c r="F107" s="221"/>
      <c r="G107" s="221"/>
      <c r="H107" s="221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</row>
    <row r="108" spans="5:24" x14ac:dyDescent="0.25">
      <c r="E108" s="221"/>
      <c r="F108" s="221"/>
      <c r="G108" s="221"/>
      <c r="H108" s="221"/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</row>
    <row r="109" spans="5:24" x14ac:dyDescent="0.25">
      <c r="E109" s="221"/>
      <c r="F109" s="221"/>
      <c r="G109" s="221"/>
      <c r="H109" s="221"/>
      <c r="I109" s="221"/>
      <c r="J109" s="221"/>
      <c r="K109" s="221"/>
      <c r="L109" s="221"/>
      <c r="M109" s="221"/>
      <c r="N109" s="221"/>
      <c r="O109" s="221"/>
      <c r="P109" s="221"/>
      <c r="Q109" s="221"/>
      <c r="R109" s="221"/>
      <c r="S109" s="221"/>
      <c r="T109" s="221"/>
      <c r="U109" s="221"/>
      <c r="V109" s="221"/>
      <c r="W109" s="221"/>
      <c r="X109" s="221"/>
    </row>
    <row r="110" spans="5:24" x14ac:dyDescent="0.25">
      <c r="E110" s="221"/>
      <c r="F110" s="221"/>
      <c r="G110" s="221"/>
      <c r="H110" s="221"/>
      <c r="I110" s="221"/>
      <c r="J110" s="221"/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</row>
    <row r="111" spans="5:24" x14ac:dyDescent="0.25">
      <c r="E111" s="221"/>
      <c r="F111" s="221"/>
      <c r="G111" s="221"/>
      <c r="H111" s="221"/>
      <c r="I111" s="221"/>
      <c r="J111" s="221"/>
      <c r="K111" s="221"/>
      <c r="L111" s="22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</row>
    <row r="112" spans="5:24" x14ac:dyDescent="0.25">
      <c r="E112" s="221"/>
      <c r="F112" s="221"/>
      <c r="G112" s="221"/>
      <c r="H112" s="221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  <c r="U112" s="221"/>
      <c r="V112" s="221"/>
      <c r="W112" s="221"/>
      <c r="X112" s="221"/>
    </row>
    <row r="113" spans="5:24" x14ac:dyDescent="0.25">
      <c r="E113" s="221"/>
      <c r="F113" s="221"/>
      <c r="G113" s="221"/>
      <c r="H113" s="221"/>
      <c r="I113" s="221"/>
      <c r="J113" s="221"/>
      <c r="K113" s="221"/>
      <c r="L113" s="221"/>
      <c r="M113" s="221"/>
      <c r="N113" s="221"/>
      <c r="O113" s="221"/>
      <c r="P113" s="221"/>
      <c r="Q113" s="221"/>
      <c r="R113" s="221"/>
      <c r="S113" s="221"/>
      <c r="T113" s="221"/>
      <c r="U113" s="221"/>
      <c r="V113" s="221"/>
      <c r="W113" s="221"/>
      <c r="X113" s="221"/>
    </row>
    <row r="114" spans="5:24" x14ac:dyDescent="0.25">
      <c r="E114" s="221"/>
      <c r="F114" s="221"/>
      <c r="G114" s="221"/>
      <c r="H114" s="221"/>
      <c r="I114" s="221"/>
      <c r="J114" s="22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1"/>
      <c r="U114" s="221"/>
      <c r="V114" s="221"/>
      <c r="W114" s="221"/>
      <c r="X114" s="221"/>
    </row>
    <row r="115" spans="5:24" x14ac:dyDescent="0.25">
      <c r="E115" s="221"/>
      <c r="F115" s="221"/>
      <c r="G115" s="221"/>
      <c r="H115" s="221"/>
      <c r="I115" s="221"/>
      <c r="J115" s="221"/>
      <c r="K115" s="221"/>
      <c r="L115" s="221"/>
      <c r="M115" s="221"/>
      <c r="N115" s="221"/>
      <c r="O115" s="221"/>
      <c r="P115" s="221"/>
      <c r="Q115" s="221"/>
      <c r="R115" s="221"/>
      <c r="S115" s="221"/>
      <c r="T115" s="221"/>
      <c r="U115" s="221"/>
      <c r="V115" s="221"/>
      <c r="W115" s="221"/>
      <c r="X115" s="221"/>
    </row>
    <row r="116" spans="5:24" x14ac:dyDescent="0.25">
      <c r="E116" s="221"/>
      <c r="F116" s="221"/>
      <c r="G116" s="221"/>
      <c r="H116" s="221"/>
      <c r="I116" s="221"/>
      <c r="J116" s="221"/>
      <c r="K116" s="221"/>
      <c r="L116" s="221"/>
      <c r="M116" s="221"/>
      <c r="N116" s="22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</row>
    <row r="117" spans="5:24" x14ac:dyDescent="0.25">
      <c r="E117" s="221"/>
      <c r="F117" s="221"/>
      <c r="G117" s="221"/>
      <c r="H117" s="221"/>
      <c r="I117" s="221"/>
      <c r="J117" s="221"/>
      <c r="K117" s="221"/>
      <c r="L117" s="221"/>
      <c r="M117" s="221"/>
      <c r="N117" s="221"/>
      <c r="O117" s="221"/>
      <c r="P117" s="221"/>
      <c r="Q117" s="221"/>
      <c r="R117" s="221"/>
      <c r="S117" s="221"/>
      <c r="T117" s="221"/>
      <c r="U117" s="221"/>
      <c r="V117" s="221"/>
      <c r="W117" s="221"/>
      <c r="X117" s="221"/>
    </row>
    <row r="118" spans="5:24" x14ac:dyDescent="0.25">
      <c r="E118" s="221"/>
      <c r="F118" s="221"/>
      <c r="G118" s="221"/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  <c r="R118" s="221"/>
      <c r="S118" s="221"/>
      <c r="T118" s="221"/>
      <c r="U118" s="221"/>
      <c r="V118" s="221"/>
      <c r="W118" s="221"/>
      <c r="X118" s="221"/>
    </row>
    <row r="119" spans="5:24" x14ac:dyDescent="0.25"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  <c r="W119" s="221"/>
      <c r="X119" s="221"/>
    </row>
    <row r="120" spans="5:24" x14ac:dyDescent="0.25"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  <c r="R120" s="221"/>
      <c r="S120" s="221"/>
      <c r="T120" s="221"/>
      <c r="U120" s="221"/>
      <c r="V120" s="221"/>
      <c r="W120" s="221"/>
      <c r="X120" s="221"/>
    </row>
    <row r="121" spans="5:24" x14ac:dyDescent="0.25">
      <c r="E121" s="221"/>
      <c r="F121" s="221"/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Q121" s="221"/>
      <c r="R121" s="221"/>
      <c r="S121" s="221"/>
      <c r="T121" s="221"/>
      <c r="U121" s="221"/>
      <c r="V121" s="221"/>
      <c r="W121" s="221"/>
      <c r="X121" s="221"/>
    </row>
    <row r="122" spans="5:24" x14ac:dyDescent="0.25"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  <c r="R122" s="221"/>
      <c r="S122" s="221"/>
      <c r="T122" s="221"/>
      <c r="U122" s="221"/>
      <c r="V122" s="221"/>
      <c r="W122" s="221"/>
      <c r="X122" s="221"/>
    </row>
    <row r="123" spans="5:24" x14ac:dyDescent="0.25">
      <c r="E123" s="221"/>
      <c r="F123" s="221"/>
      <c r="G123" s="221"/>
      <c r="H123" s="221"/>
      <c r="I123" s="221"/>
      <c r="J123" s="221"/>
      <c r="K123" s="221"/>
      <c r="L123" s="221"/>
      <c r="M123" s="221"/>
      <c r="N123" s="221"/>
      <c r="O123" s="221"/>
      <c r="P123" s="221"/>
      <c r="Q123" s="221"/>
      <c r="R123" s="221"/>
      <c r="S123" s="221"/>
      <c r="T123" s="221"/>
      <c r="U123" s="221"/>
      <c r="V123" s="221"/>
      <c r="W123" s="221"/>
      <c r="X123" s="221"/>
    </row>
    <row r="124" spans="5:24" x14ac:dyDescent="0.25"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  <c r="R124" s="221"/>
      <c r="S124" s="221"/>
      <c r="T124" s="221"/>
      <c r="U124" s="221"/>
      <c r="V124" s="221"/>
      <c r="W124" s="221"/>
      <c r="X124" s="221"/>
    </row>
    <row r="125" spans="5:24" x14ac:dyDescent="0.25">
      <c r="E125" s="221"/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1"/>
      <c r="T125" s="221"/>
      <c r="U125" s="221"/>
      <c r="V125" s="221"/>
      <c r="W125" s="221"/>
      <c r="X125" s="221"/>
    </row>
    <row r="126" spans="5:24" x14ac:dyDescent="0.25">
      <c r="E126" s="221"/>
      <c r="F126" s="221"/>
      <c r="G126" s="221"/>
      <c r="H126" s="221"/>
      <c r="I126" s="221"/>
      <c r="J126" s="221"/>
      <c r="K126" s="221"/>
      <c r="L126" s="221"/>
      <c r="M126" s="221"/>
      <c r="N126" s="221"/>
      <c r="O126" s="221"/>
      <c r="P126" s="221"/>
      <c r="Q126" s="221"/>
      <c r="R126" s="221"/>
      <c r="S126" s="221"/>
      <c r="T126" s="221"/>
      <c r="U126" s="221"/>
      <c r="V126" s="221"/>
      <c r="W126" s="221"/>
      <c r="X126" s="221"/>
    </row>
    <row r="127" spans="5:24" x14ac:dyDescent="0.25">
      <c r="E127" s="221"/>
      <c r="F127" s="221"/>
      <c r="G127" s="221"/>
      <c r="H127" s="221"/>
      <c r="I127" s="221"/>
      <c r="J127" s="221"/>
      <c r="K127" s="221"/>
      <c r="L127" s="221"/>
      <c r="M127" s="221"/>
      <c r="N127" s="221"/>
      <c r="O127" s="221"/>
      <c r="P127" s="221"/>
      <c r="Q127" s="221"/>
      <c r="R127" s="221"/>
      <c r="S127" s="221"/>
      <c r="T127" s="221"/>
      <c r="U127" s="221"/>
      <c r="V127" s="221"/>
      <c r="W127" s="221"/>
      <c r="X127" s="221"/>
    </row>
    <row r="128" spans="5:24" x14ac:dyDescent="0.25">
      <c r="E128" s="221"/>
      <c r="F128" s="221"/>
      <c r="G128" s="221"/>
      <c r="H128" s="221"/>
      <c r="I128" s="221"/>
      <c r="J128" s="221"/>
      <c r="K128" s="221"/>
      <c r="L128" s="221"/>
      <c r="M128" s="221"/>
      <c r="N128" s="221"/>
      <c r="O128" s="221"/>
      <c r="P128" s="221"/>
      <c r="Q128" s="221"/>
      <c r="R128" s="221"/>
      <c r="S128" s="221"/>
      <c r="T128" s="221"/>
      <c r="U128" s="221"/>
      <c r="V128" s="221"/>
      <c r="W128" s="221"/>
      <c r="X128" s="221"/>
    </row>
    <row r="129" spans="5:24" x14ac:dyDescent="0.25">
      <c r="E129" s="221"/>
      <c r="F129" s="221"/>
      <c r="G129" s="221"/>
      <c r="H129" s="221"/>
      <c r="I129" s="221"/>
      <c r="J129" s="221"/>
      <c r="K129" s="221"/>
      <c r="L129" s="221"/>
      <c r="M129" s="221"/>
      <c r="N129" s="221"/>
      <c r="O129" s="221"/>
      <c r="P129" s="221"/>
      <c r="Q129" s="221"/>
      <c r="R129" s="221"/>
      <c r="S129" s="221"/>
      <c r="T129" s="221"/>
      <c r="U129" s="221"/>
      <c r="V129" s="221"/>
      <c r="W129" s="221"/>
      <c r="X129" s="221"/>
    </row>
    <row r="130" spans="5:24" x14ac:dyDescent="0.25">
      <c r="E130" s="221"/>
      <c r="F130" s="221"/>
      <c r="G130" s="221"/>
      <c r="H130" s="221"/>
      <c r="I130" s="221"/>
      <c r="J130" s="221"/>
      <c r="K130" s="221"/>
      <c r="L130" s="221"/>
      <c r="M130" s="221"/>
      <c r="N130" s="221"/>
      <c r="O130" s="221"/>
      <c r="P130" s="221"/>
      <c r="Q130" s="221"/>
      <c r="R130" s="221"/>
      <c r="S130" s="221"/>
      <c r="T130" s="221"/>
      <c r="U130" s="221"/>
      <c r="V130" s="221"/>
      <c r="W130" s="221"/>
      <c r="X130" s="221"/>
    </row>
    <row r="131" spans="5:24" x14ac:dyDescent="0.25">
      <c r="E131" s="221"/>
      <c r="F131" s="221"/>
      <c r="G131" s="221"/>
      <c r="H131" s="221"/>
      <c r="I131" s="221"/>
      <c r="J131" s="221"/>
      <c r="K131" s="221"/>
      <c r="L131" s="221"/>
      <c r="M131" s="221"/>
      <c r="N131" s="221"/>
      <c r="O131" s="221"/>
      <c r="P131" s="221"/>
      <c r="Q131" s="221"/>
      <c r="R131" s="221"/>
      <c r="S131" s="221"/>
      <c r="T131" s="221"/>
      <c r="U131" s="221"/>
      <c r="V131" s="221"/>
      <c r="W131" s="221"/>
      <c r="X131" s="221"/>
    </row>
    <row r="132" spans="5:24" x14ac:dyDescent="0.25">
      <c r="E132" s="221"/>
      <c r="F132" s="221"/>
      <c r="G132" s="221"/>
      <c r="H132" s="221"/>
      <c r="I132" s="221"/>
      <c r="J132" s="221"/>
      <c r="K132" s="221"/>
      <c r="L132" s="221"/>
      <c r="M132" s="221"/>
      <c r="N132" s="221"/>
      <c r="O132" s="221"/>
      <c r="P132" s="221"/>
      <c r="Q132" s="221"/>
      <c r="R132" s="221"/>
      <c r="S132" s="221"/>
      <c r="T132" s="221"/>
      <c r="U132" s="221"/>
      <c r="V132" s="221"/>
      <c r="W132" s="221"/>
      <c r="X132" s="221"/>
    </row>
    <row r="133" spans="5:24" x14ac:dyDescent="0.25">
      <c r="E133" s="221"/>
      <c r="F133" s="221"/>
      <c r="G133" s="221"/>
      <c r="H133" s="221"/>
      <c r="I133" s="221"/>
      <c r="J133" s="221"/>
      <c r="K133" s="221"/>
      <c r="L133" s="221"/>
      <c r="M133" s="221"/>
      <c r="N133" s="221"/>
      <c r="O133" s="221"/>
      <c r="P133" s="221"/>
      <c r="Q133" s="221"/>
      <c r="R133" s="221"/>
      <c r="S133" s="221"/>
      <c r="T133" s="221"/>
      <c r="U133" s="221"/>
      <c r="V133" s="221"/>
      <c r="W133" s="221"/>
      <c r="X133" s="221"/>
    </row>
    <row r="134" spans="5:24" x14ac:dyDescent="0.25">
      <c r="E134" s="221"/>
      <c r="F134" s="221"/>
      <c r="G134" s="221"/>
      <c r="H134" s="221"/>
      <c r="I134" s="221"/>
      <c r="J134" s="221"/>
      <c r="K134" s="221"/>
      <c r="L134" s="221"/>
      <c r="M134" s="221"/>
      <c r="N134" s="221"/>
      <c r="O134" s="221"/>
      <c r="P134" s="221"/>
      <c r="Q134" s="221"/>
      <c r="R134" s="221"/>
      <c r="S134" s="221"/>
      <c r="T134" s="221"/>
      <c r="U134" s="221"/>
      <c r="V134" s="221"/>
      <c r="W134" s="221"/>
      <c r="X134" s="221"/>
    </row>
    <row r="135" spans="5:24" x14ac:dyDescent="0.25">
      <c r="E135" s="221"/>
      <c r="F135" s="221"/>
      <c r="G135" s="221"/>
      <c r="H135" s="221"/>
      <c r="I135" s="221"/>
      <c r="J135" s="221"/>
      <c r="K135" s="221"/>
      <c r="L135" s="221"/>
      <c r="M135" s="221"/>
      <c r="N135" s="221"/>
      <c r="O135" s="221"/>
      <c r="P135" s="221"/>
      <c r="Q135" s="221"/>
      <c r="R135" s="221"/>
      <c r="S135" s="221"/>
      <c r="T135" s="221"/>
      <c r="U135" s="221"/>
      <c r="V135" s="221"/>
      <c r="W135" s="221"/>
      <c r="X135" s="221"/>
    </row>
    <row r="136" spans="5:24" x14ac:dyDescent="0.25">
      <c r="E136" s="221"/>
      <c r="F136" s="221"/>
      <c r="G136" s="221"/>
      <c r="H136" s="221"/>
      <c r="I136" s="221"/>
      <c r="J136" s="221"/>
      <c r="K136" s="221"/>
      <c r="L136" s="221"/>
      <c r="M136" s="221"/>
      <c r="N136" s="221"/>
      <c r="O136" s="221"/>
      <c r="P136" s="221"/>
      <c r="Q136" s="221"/>
      <c r="R136" s="221"/>
      <c r="S136" s="221"/>
      <c r="T136" s="221"/>
      <c r="U136" s="221"/>
      <c r="V136" s="221"/>
      <c r="W136" s="221"/>
      <c r="X136" s="221"/>
    </row>
    <row r="137" spans="5:24" x14ac:dyDescent="0.25">
      <c r="E137" s="221"/>
      <c r="F137" s="221"/>
      <c r="G137" s="221"/>
      <c r="H137" s="221"/>
      <c r="I137" s="221"/>
      <c r="J137" s="221"/>
      <c r="K137" s="221"/>
      <c r="L137" s="221"/>
      <c r="M137" s="221"/>
      <c r="N137" s="221"/>
      <c r="O137" s="221"/>
      <c r="P137" s="221"/>
      <c r="Q137" s="221"/>
      <c r="R137" s="221"/>
      <c r="S137" s="221"/>
      <c r="T137" s="221"/>
      <c r="U137" s="221"/>
      <c r="V137" s="221"/>
      <c r="W137" s="221"/>
      <c r="X137" s="221"/>
    </row>
    <row r="138" spans="5:24" x14ac:dyDescent="0.25">
      <c r="E138" s="221"/>
      <c r="F138" s="221"/>
      <c r="G138" s="221"/>
      <c r="H138" s="221"/>
      <c r="I138" s="221"/>
      <c r="J138" s="221"/>
      <c r="K138" s="221"/>
      <c r="L138" s="221"/>
      <c r="M138" s="221"/>
      <c r="N138" s="221"/>
      <c r="O138" s="221"/>
      <c r="P138" s="221"/>
      <c r="Q138" s="221"/>
      <c r="R138" s="221"/>
      <c r="S138" s="221"/>
      <c r="T138" s="221"/>
      <c r="U138" s="221"/>
      <c r="V138" s="221"/>
      <c r="W138" s="221"/>
      <c r="X138" s="221"/>
    </row>
    <row r="139" spans="5:24" x14ac:dyDescent="0.25">
      <c r="E139" s="221"/>
      <c r="F139" s="221"/>
      <c r="G139" s="221"/>
      <c r="H139" s="221"/>
      <c r="I139" s="221"/>
      <c r="J139" s="221"/>
      <c r="K139" s="221"/>
      <c r="L139" s="221"/>
      <c r="M139" s="221"/>
      <c r="N139" s="221"/>
      <c r="O139" s="221"/>
      <c r="P139" s="221"/>
      <c r="Q139" s="221"/>
      <c r="R139" s="221"/>
      <c r="S139" s="221"/>
      <c r="T139" s="221"/>
      <c r="U139" s="221"/>
      <c r="V139" s="221"/>
      <c r="W139" s="221"/>
      <c r="X139" s="221"/>
    </row>
    <row r="140" spans="5:24" x14ac:dyDescent="0.25">
      <c r="E140" s="221"/>
      <c r="F140" s="221"/>
      <c r="G140" s="221"/>
      <c r="H140" s="221"/>
      <c r="I140" s="221"/>
      <c r="J140" s="221"/>
      <c r="K140" s="221"/>
      <c r="L140" s="221"/>
      <c r="M140" s="221"/>
      <c r="N140" s="221"/>
      <c r="O140" s="221"/>
      <c r="P140" s="221"/>
      <c r="Q140" s="221"/>
      <c r="R140" s="221"/>
      <c r="S140" s="221"/>
      <c r="T140" s="221"/>
      <c r="U140" s="221"/>
      <c r="V140" s="221"/>
      <c r="W140" s="221"/>
      <c r="X140" s="221"/>
    </row>
    <row r="141" spans="5:24" x14ac:dyDescent="0.25">
      <c r="E141" s="221"/>
      <c r="F141" s="221"/>
      <c r="G141" s="221"/>
      <c r="H141" s="221"/>
      <c r="I141" s="221"/>
      <c r="J141" s="221"/>
      <c r="K141" s="221"/>
      <c r="L141" s="221"/>
      <c r="M141" s="221"/>
      <c r="N141" s="221"/>
      <c r="O141" s="221"/>
      <c r="P141" s="221"/>
      <c r="Q141" s="221"/>
      <c r="R141" s="221"/>
      <c r="S141" s="221"/>
      <c r="T141" s="221"/>
      <c r="U141" s="221"/>
      <c r="V141" s="221"/>
      <c r="W141" s="221"/>
      <c r="X141" s="221"/>
    </row>
    <row r="142" spans="5:24" x14ac:dyDescent="0.25">
      <c r="E142" s="221"/>
      <c r="F142" s="221"/>
      <c r="G142" s="221"/>
      <c r="H142" s="221"/>
      <c r="I142" s="221"/>
      <c r="J142" s="221"/>
      <c r="K142" s="221"/>
      <c r="L142" s="221"/>
      <c r="M142" s="221"/>
      <c r="N142" s="221"/>
      <c r="O142" s="221"/>
      <c r="P142" s="221"/>
      <c r="Q142" s="221"/>
      <c r="R142" s="221"/>
      <c r="S142" s="221"/>
      <c r="T142" s="221"/>
      <c r="U142" s="221"/>
      <c r="V142" s="221"/>
      <c r="W142" s="221"/>
      <c r="X142" s="221"/>
    </row>
    <row r="143" spans="5:24" x14ac:dyDescent="0.25">
      <c r="E143" s="221"/>
      <c r="F143" s="221"/>
      <c r="G143" s="221"/>
      <c r="H143" s="221"/>
      <c r="I143" s="221"/>
      <c r="J143" s="221"/>
      <c r="K143" s="221"/>
      <c r="L143" s="221"/>
      <c r="M143" s="221"/>
      <c r="N143" s="221"/>
      <c r="O143" s="221"/>
      <c r="P143" s="221"/>
      <c r="Q143" s="221"/>
      <c r="R143" s="221"/>
      <c r="S143" s="221"/>
      <c r="T143" s="221"/>
      <c r="U143" s="221"/>
      <c r="V143" s="221"/>
      <c r="W143" s="221"/>
      <c r="X143" s="221"/>
    </row>
    <row r="144" spans="5:24" x14ac:dyDescent="0.25">
      <c r="E144" s="221"/>
      <c r="F144" s="221"/>
      <c r="G144" s="221"/>
      <c r="H144" s="221"/>
      <c r="I144" s="221"/>
      <c r="J144" s="221"/>
      <c r="K144" s="221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  <c r="V144" s="221"/>
      <c r="W144" s="221"/>
      <c r="X144" s="221"/>
    </row>
    <row r="145" spans="5:24" x14ac:dyDescent="0.25">
      <c r="E145" s="221"/>
      <c r="F145" s="221"/>
      <c r="G145" s="221"/>
      <c r="H145" s="221"/>
      <c r="I145" s="221"/>
      <c r="J145" s="221"/>
      <c r="K145" s="221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  <c r="V145" s="221"/>
      <c r="W145" s="221"/>
      <c r="X145" s="221"/>
    </row>
    <row r="146" spans="5:24" x14ac:dyDescent="0.25">
      <c r="E146" s="221"/>
      <c r="F146" s="221"/>
      <c r="G146" s="221"/>
      <c r="H146" s="221"/>
      <c r="I146" s="221"/>
      <c r="J146" s="221"/>
      <c r="K146" s="221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  <c r="V146" s="221"/>
      <c r="W146" s="221"/>
      <c r="X146" s="221"/>
    </row>
    <row r="147" spans="5:24" x14ac:dyDescent="0.25">
      <c r="E147" s="221"/>
      <c r="F147" s="221"/>
      <c r="G147" s="221"/>
      <c r="H147" s="221"/>
      <c r="I147" s="221"/>
      <c r="J147" s="221"/>
      <c r="K147" s="221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1"/>
      <c r="W147" s="221"/>
      <c r="X147" s="221"/>
    </row>
    <row r="148" spans="5:24" x14ac:dyDescent="0.25">
      <c r="E148" s="221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</row>
    <row r="149" spans="5:24" x14ac:dyDescent="0.25">
      <c r="E149" s="221"/>
      <c r="F149" s="221"/>
      <c r="G149" s="221"/>
      <c r="H149" s="221"/>
      <c r="I149" s="221"/>
      <c r="J149" s="221"/>
      <c r="K149" s="221"/>
      <c r="L149" s="221"/>
      <c r="M149" s="221"/>
      <c r="N149" s="221"/>
      <c r="O149" s="221"/>
      <c r="P149" s="221"/>
      <c r="Q149" s="221"/>
      <c r="R149" s="221"/>
      <c r="S149" s="221"/>
      <c r="T149" s="221"/>
      <c r="U149" s="221"/>
      <c r="V149" s="221"/>
      <c r="W149" s="221"/>
      <c r="X149" s="221"/>
    </row>
    <row r="150" spans="5:24" x14ac:dyDescent="0.25">
      <c r="E150" s="221"/>
      <c r="F150" s="221"/>
      <c r="G150" s="221"/>
      <c r="H150" s="221"/>
      <c r="I150" s="221"/>
      <c r="J150" s="221"/>
      <c r="K150" s="221"/>
      <c r="L150" s="221"/>
      <c r="M150" s="221"/>
      <c r="N150" s="221"/>
      <c r="O150" s="221"/>
      <c r="P150" s="221"/>
      <c r="Q150" s="221"/>
      <c r="R150" s="221"/>
      <c r="S150" s="221"/>
      <c r="T150" s="221"/>
      <c r="U150" s="221"/>
      <c r="V150" s="221"/>
      <c r="W150" s="221"/>
      <c r="X150" s="221"/>
    </row>
    <row r="151" spans="5:24" x14ac:dyDescent="0.25">
      <c r="E151" s="221"/>
      <c r="F151" s="221"/>
      <c r="G151" s="221"/>
      <c r="H151" s="221"/>
      <c r="I151" s="221"/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  <c r="T151" s="221"/>
      <c r="U151" s="221"/>
      <c r="V151" s="221"/>
      <c r="W151" s="221"/>
      <c r="X151" s="221"/>
    </row>
    <row r="152" spans="5:24" x14ac:dyDescent="0.25">
      <c r="E152" s="221"/>
      <c r="F152" s="221"/>
      <c r="G152" s="221"/>
      <c r="H152" s="221"/>
      <c r="I152" s="221"/>
      <c r="J152" s="221"/>
      <c r="K152" s="221"/>
      <c r="L152" s="221"/>
      <c r="M152" s="221"/>
      <c r="N152" s="221"/>
      <c r="O152" s="221"/>
      <c r="P152" s="221"/>
      <c r="Q152" s="221"/>
      <c r="R152" s="221"/>
      <c r="S152" s="221"/>
      <c r="T152" s="221"/>
      <c r="U152" s="221"/>
      <c r="V152" s="221"/>
      <c r="W152" s="221"/>
      <c r="X152" s="221"/>
    </row>
    <row r="153" spans="5:24" x14ac:dyDescent="0.25">
      <c r="E153" s="221"/>
      <c r="F153" s="221"/>
      <c r="G153" s="221"/>
      <c r="H153" s="221"/>
      <c r="I153" s="221"/>
      <c r="J153" s="221"/>
      <c r="K153" s="221"/>
      <c r="L153" s="221"/>
      <c r="M153" s="221"/>
      <c r="N153" s="221"/>
      <c r="O153" s="221"/>
      <c r="P153" s="221"/>
      <c r="Q153" s="221"/>
      <c r="R153" s="221"/>
      <c r="S153" s="221"/>
      <c r="T153" s="221"/>
      <c r="U153" s="221"/>
      <c r="V153" s="221"/>
      <c r="W153" s="221"/>
      <c r="X153" s="221"/>
    </row>
    <row r="154" spans="5:24" x14ac:dyDescent="0.25">
      <c r="E154" s="221"/>
      <c r="F154" s="221"/>
      <c r="G154" s="221"/>
      <c r="H154" s="221"/>
      <c r="I154" s="221"/>
      <c r="J154" s="221"/>
      <c r="K154" s="221"/>
      <c r="L154" s="221"/>
      <c r="M154" s="221"/>
      <c r="N154" s="221"/>
      <c r="O154" s="221"/>
      <c r="P154" s="221"/>
      <c r="Q154" s="221"/>
      <c r="R154" s="221"/>
      <c r="S154" s="221"/>
      <c r="T154" s="221"/>
      <c r="U154" s="221"/>
      <c r="V154" s="221"/>
      <c r="W154" s="221"/>
      <c r="X154" s="221"/>
    </row>
    <row r="155" spans="5:24" x14ac:dyDescent="0.25">
      <c r="E155" s="221"/>
      <c r="F155" s="221"/>
      <c r="G155" s="221"/>
      <c r="H155" s="221"/>
      <c r="I155" s="221"/>
      <c r="J155" s="221"/>
      <c r="K155" s="221"/>
      <c r="L155" s="221"/>
      <c r="M155" s="221"/>
      <c r="N155" s="221"/>
      <c r="O155" s="221"/>
      <c r="P155" s="221"/>
      <c r="Q155" s="221"/>
      <c r="R155" s="221"/>
      <c r="S155" s="221"/>
      <c r="T155" s="221"/>
      <c r="U155" s="221"/>
      <c r="V155" s="221"/>
      <c r="W155" s="221"/>
      <c r="X155" s="221"/>
    </row>
    <row r="156" spans="5:24" x14ac:dyDescent="0.25">
      <c r="E156" s="221"/>
      <c r="F156" s="221"/>
      <c r="G156" s="221"/>
      <c r="H156" s="221"/>
      <c r="I156" s="221"/>
      <c r="J156" s="221"/>
      <c r="K156" s="221"/>
      <c r="L156" s="221"/>
      <c r="M156" s="221"/>
      <c r="N156" s="221"/>
      <c r="O156" s="221"/>
      <c r="P156" s="221"/>
      <c r="Q156" s="221"/>
      <c r="R156" s="221"/>
      <c r="S156" s="221"/>
      <c r="T156" s="221"/>
      <c r="U156" s="221"/>
      <c r="V156" s="221"/>
      <c r="W156" s="221"/>
      <c r="X156" s="221"/>
    </row>
    <row r="157" spans="5:24" x14ac:dyDescent="0.25">
      <c r="E157" s="221"/>
      <c r="F157" s="221"/>
      <c r="G157" s="221"/>
      <c r="H157" s="221"/>
      <c r="I157" s="221"/>
      <c r="J157" s="221"/>
      <c r="K157" s="221"/>
      <c r="L157" s="221"/>
      <c r="M157" s="221"/>
      <c r="N157" s="221"/>
      <c r="O157" s="221"/>
      <c r="P157" s="221"/>
      <c r="Q157" s="221"/>
      <c r="R157" s="221"/>
      <c r="S157" s="221"/>
      <c r="T157" s="221"/>
      <c r="U157" s="221"/>
      <c r="V157" s="221"/>
      <c r="W157" s="221"/>
      <c r="X157" s="221"/>
    </row>
    <row r="158" spans="5:24" x14ac:dyDescent="0.25">
      <c r="E158" s="221"/>
      <c r="F158" s="221"/>
      <c r="G158" s="221"/>
      <c r="H158" s="221"/>
      <c r="I158" s="221"/>
      <c r="J158" s="221"/>
      <c r="K158" s="221"/>
      <c r="L158" s="221"/>
      <c r="M158" s="221"/>
      <c r="N158" s="221"/>
      <c r="O158" s="221"/>
      <c r="P158" s="221"/>
      <c r="Q158" s="221"/>
      <c r="R158" s="221"/>
      <c r="S158" s="221"/>
      <c r="T158" s="221"/>
      <c r="U158" s="221"/>
      <c r="V158" s="221"/>
      <c r="W158" s="221"/>
      <c r="X158" s="221"/>
    </row>
    <row r="159" spans="5:24" x14ac:dyDescent="0.25">
      <c r="E159" s="221"/>
      <c r="F159" s="221"/>
      <c r="G159" s="221"/>
      <c r="H159" s="221"/>
      <c r="I159" s="221"/>
      <c r="J159" s="221"/>
      <c r="K159" s="221"/>
      <c r="L159" s="221"/>
      <c r="M159" s="221"/>
      <c r="N159" s="221"/>
      <c r="O159" s="221"/>
      <c r="P159" s="221"/>
      <c r="Q159" s="221"/>
      <c r="R159" s="221"/>
      <c r="S159" s="221"/>
      <c r="T159" s="221"/>
      <c r="U159" s="221"/>
      <c r="V159" s="221"/>
      <c r="W159" s="221"/>
      <c r="X159" s="221"/>
    </row>
    <row r="160" spans="5:24" x14ac:dyDescent="0.25">
      <c r="E160" s="221"/>
      <c r="F160" s="221"/>
      <c r="G160" s="221"/>
      <c r="H160" s="221"/>
      <c r="I160" s="221"/>
      <c r="J160" s="221"/>
      <c r="K160" s="221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  <c r="V160" s="221"/>
      <c r="W160" s="221"/>
      <c r="X160" s="221"/>
    </row>
    <row r="161" spans="5:24" x14ac:dyDescent="0.25">
      <c r="E161" s="221"/>
      <c r="F161" s="221"/>
      <c r="G161" s="221"/>
      <c r="H161" s="221"/>
      <c r="I161" s="221"/>
      <c r="J161" s="221"/>
      <c r="K161" s="221"/>
      <c r="L161" s="221"/>
      <c r="M161" s="221"/>
      <c r="N161" s="221"/>
      <c r="O161" s="221"/>
      <c r="P161" s="221"/>
      <c r="Q161" s="221"/>
      <c r="R161" s="221"/>
      <c r="S161" s="221"/>
      <c r="T161" s="221"/>
      <c r="U161" s="221"/>
      <c r="V161" s="221"/>
      <c r="W161" s="221"/>
      <c r="X161" s="221"/>
    </row>
    <row r="162" spans="5:24" x14ac:dyDescent="0.25">
      <c r="E162" s="221"/>
      <c r="F162" s="221"/>
      <c r="G162" s="221"/>
      <c r="H162" s="221"/>
      <c r="I162" s="221"/>
      <c r="J162" s="221"/>
      <c r="K162" s="221"/>
      <c r="L162" s="221"/>
      <c r="M162" s="221"/>
      <c r="N162" s="221"/>
      <c r="O162" s="221"/>
      <c r="P162" s="221"/>
      <c r="Q162" s="221"/>
      <c r="R162" s="221"/>
      <c r="S162" s="221"/>
      <c r="T162" s="221"/>
      <c r="U162" s="221"/>
      <c r="V162" s="221"/>
      <c r="W162" s="221"/>
      <c r="X162" s="221"/>
    </row>
    <row r="163" spans="5:24" x14ac:dyDescent="0.25">
      <c r="E163" s="221"/>
      <c r="F163" s="221"/>
      <c r="G163" s="221"/>
      <c r="H163" s="221"/>
      <c r="I163" s="221"/>
      <c r="J163" s="221"/>
      <c r="K163" s="221"/>
      <c r="L163" s="221"/>
      <c r="M163" s="221"/>
      <c r="N163" s="221"/>
      <c r="O163" s="221"/>
      <c r="P163" s="221"/>
      <c r="Q163" s="221"/>
      <c r="R163" s="221"/>
      <c r="S163" s="221"/>
      <c r="T163" s="221"/>
      <c r="U163" s="221"/>
      <c r="V163" s="221"/>
      <c r="W163" s="221"/>
      <c r="X163" s="221"/>
    </row>
    <row r="164" spans="5:24" x14ac:dyDescent="0.25">
      <c r="E164" s="221"/>
      <c r="F164" s="221"/>
      <c r="G164" s="221"/>
      <c r="H164" s="221"/>
      <c r="I164" s="221"/>
      <c r="J164" s="221"/>
      <c r="K164" s="221"/>
      <c r="L164" s="221"/>
      <c r="M164" s="221"/>
      <c r="N164" s="221"/>
      <c r="O164" s="221"/>
      <c r="P164" s="221"/>
      <c r="Q164" s="221"/>
      <c r="R164" s="221"/>
      <c r="S164" s="221"/>
      <c r="T164" s="221"/>
      <c r="U164" s="221"/>
      <c r="V164" s="221"/>
      <c r="W164" s="221"/>
      <c r="X164" s="221"/>
    </row>
    <row r="165" spans="5:24" x14ac:dyDescent="0.25">
      <c r="E165" s="221"/>
      <c r="F165" s="221"/>
      <c r="G165" s="221"/>
      <c r="H165" s="221"/>
      <c r="I165" s="221"/>
      <c r="J165" s="221"/>
      <c r="K165" s="221"/>
      <c r="L165" s="221"/>
      <c r="M165" s="221"/>
      <c r="N165" s="221"/>
      <c r="O165" s="221"/>
      <c r="P165" s="221"/>
      <c r="Q165" s="221"/>
      <c r="R165" s="221"/>
      <c r="S165" s="221"/>
      <c r="T165" s="221"/>
      <c r="U165" s="221"/>
      <c r="V165" s="221"/>
      <c r="W165" s="221"/>
      <c r="X165" s="221"/>
    </row>
    <row r="166" spans="5:24" x14ac:dyDescent="0.25">
      <c r="E166" s="221"/>
      <c r="F166" s="221"/>
      <c r="G166" s="221"/>
      <c r="H166" s="221"/>
      <c r="I166" s="221"/>
      <c r="J166" s="221"/>
      <c r="K166" s="221"/>
      <c r="L166" s="221"/>
      <c r="M166" s="221"/>
      <c r="N166" s="221"/>
      <c r="O166" s="221"/>
      <c r="P166" s="221"/>
      <c r="Q166" s="221"/>
      <c r="R166" s="221"/>
      <c r="S166" s="221"/>
      <c r="T166" s="221"/>
      <c r="U166" s="221"/>
      <c r="V166" s="221"/>
      <c r="W166" s="221"/>
      <c r="X166" s="221"/>
    </row>
    <row r="167" spans="5:24" x14ac:dyDescent="0.25">
      <c r="E167" s="221"/>
      <c r="F167" s="221"/>
      <c r="G167" s="221"/>
      <c r="H167" s="221"/>
      <c r="I167" s="221"/>
      <c r="J167" s="221"/>
      <c r="K167" s="221"/>
      <c r="L167" s="221"/>
      <c r="M167" s="221"/>
      <c r="N167" s="221"/>
      <c r="O167" s="221"/>
      <c r="P167" s="221"/>
      <c r="Q167" s="221"/>
      <c r="R167" s="221"/>
      <c r="S167" s="221"/>
      <c r="T167" s="221"/>
      <c r="U167" s="221"/>
      <c r="V167" s="221"/>
      <c r="W167" s="221"/>
      <c r="X167" s="221"/>
    </row>
    <row r="168" spans="5:24" x14ac:dyDescent="0.25">
      <c r="E168" s="221"/>
      <c r="F168" s="221"/>
      <c r="G168" s="221"/>
      <c r="H168" s="221"/>
      <c r="I168" s="221"/>
      <c r="J168" s="221"/>
      <c r="K168" s="221"/>
      <c r="L168" s="221"/>
      <c r="M168" s="221"/>
      <c r="N168" s="221"/>
      <c r="O168" s="221"/>
      <c r="P168" s="221"/>
      <c r="Q168" s="221"/>
      <c r="R168" s="221"/>
      <c r="S168" s="221"/>
      <c r="T168" s="221"/>
      <c r="U168" s="221"/>
      <c r="V168" s="221"/>
      <c r="W168" s="221"/>
      <c r="X168" s="221"/>
    </row>
    <row r="169" spans="5:24" x14ac:dyDescent="0.25">
      <c r="E169" s="221"/>
      <c r="F169" s="221"/>
      <c r="G169" s="221"/>
      <c r="H169" s="221"/>
      <c r="I169" s="221"/>
      <c r="J169" s="221"/>
      <c r="K169" s="221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21"/>
      <c r="W169" s="221"/>
      <c r="X169" s="221"/>
    </row>
    <row r="170" spans="5:24" x14ac:dyDescent="0.25">
      <c r="E170" s="221"/>
      <c r="F170" s="221"/>
      <c r="G170" s="221"/>
      <c r="H170" s="221"/>
      <c r="I170" s="221"/>
      <c r="J170" s="221"/>
      <c r="K170" s="221"/>
      <c r="L170" s="221"/>
      <c r="M170" s="221"/>
      <c r="N170" s="221"/>
      <c r="O170" s="221"/>
      <c r="P170" s="221"/>
      <c r="Q170" s="221"/>
      <c r="R170" s="221"/>
      <c r="S170" s="221"/>
      <c r="T170" s="221"/>
      <c r="U170" s="221"/>
      <c r="V170" s="221"/>
      <c r="W170" s="221"/>
      <c r="X170" s="221"/>
    </row>
    <row r="171" spans="5:24" x14ac:dyDescent="0.25">
      <c r="E171" s="221"/>
      <c r="F171" s="221"/>
      <c r="G171" s="221"/>
      <c r="H171" s="221"/>
      <c r="I171" s="221"/>
      <c r="J171" s="221"/>
      <c r="K171" s="221"/>
      <c r="L171" s="221"/>
      <c r="M171" s="221"/>
      <c r="N171" s="221"/>
      <c r="O171" s="221"/>
      <c r="P171" s="221"/>
      <c r="Q171" s="221"/>
      <c r="R171" s="221"/>
      <c r="S171" s="221"/>
      <c r="T171" s="221"/>
      <c r="U171" s="221"/>
      <c r="V171" s="221"/>
      <c r="W171" s="221"/>
      <c r="X171" s="221"/>
    </row>
    <row r="172" spans="5:24" x14ac:dyDescent="0.25">
      <c r="E172" s="221"/>
      <c r="F172" s="221"/>
      <c r="G172" s="221"/>
      <c r="H172" s="221"/>
      <c r="I172" s="221"/>
      <c r="J172" s="221"/>
      <c r="K172" s="221"/>
      <c r="L172" s="221"/>
      <c r="M172" s="221"/>
      <c r="N172" s="221"/>
      <c r="O172" s="221"/>
      <c r="P172" s="221"/>
      <c r="Q172" s="221"/>
      <c r="R172" s="221"/>
      <c r="S172" s="221"/>
      <c r="T172" s="221"/>
      <c r="U172" s="221"/>
      <c r="V172" s="221"/>
      <c r="W172" s="221"/>
      <c r="X172" s="221"/>
    </row>
    <row r="173" spans="5:24" x14ac:dyDescent="0.25">
      <c r="E173" s="221"/>
      <c r="F173" s="221"/>
      <c r="G173" s="221"/>
      <c r="H173" s="221"/>
      <c r="I173" s="221"/>
      <c r="J173" s="221"/>
      <c r="K173" s="221"/>
      <c r="L173" s="221"/>
      <c r="M173" s="221"/>
      <c r="N173" s="221"/>
      <c r="O173" s="221"/>
      <c r="P173" s="221"/>
      <c r="Q173" s="221"/>
      <c r="R173" s="221"/>
      <c r="S173" s="221"/>
      <c r="T173" s="221"/>
      <c r="U173" s="221"/>
      <c r="V173" s="221"/>
      <c r="W173" s="221"/>
      <c r="X173" s="221"/>
    </row>
    <row r="174" spans="5:24" x14ac:dyDescent="0.25">
      <c r="E174" s="221"/>
      <c r="F174" s="221"/>
      <c r="G174" s="221"/>
      <c r="H174" s="221"/>
      <c r="I174" s="221"/>
      <c r="J174" s="221"/>
      <c r="K174" s="221"/>
      <c r="L174" s="221"/>
      <c r="M174" s="221"/>
      <c r="N174" s="221"/>
      <c r="O174" s="221"/>
      <c r="P174" s="221"/>
      <c r="Q174" s="221"/>
      <c r="R174" s="221"/>
      <c r="S174" s="221"/>
      <c r="T174" s="221"/>
      <c r="U174" s="221"/>
      <c r="V174" s="221"/>
      <c r="W174" s="221"/>
      <c r="X174" s="221"/>
    </row>
    <row r="175" spans="5:24" x14ac:dyDescent="0.25">
      <c r="E175" s="221"/>
      <c r="F175" s="221"/>
      <c r="G175" s="221"/>
      <c r="H175" s="221"/>
      <c r="I175" s="221"/>
      <c r="J175" s="221"/>
      <c r="K175" s="221"/>
      <c r="L175" s="221"/>
      <c r="M175" s="221"/>
      <c r="N175" s="221"/>
      <c r="O175" s="221"/>
      <c r="P175" s="221"/>
      <c r="Q175" s="221"/>
      <c r="R175" s="221"/>
      <c r="S175" s="221"/>
      <c r="T175" s="221"/>
      <c r="U175" s="221"/>
      <c r="V175" s="221"/>
      <c r="W175" s="221"/>
      <c r="X175" s="221"/>
    </row>
    <row r="176" spans="5:24" x14ac:dyDescent="0.25">
      <c r="E176" s="221"/>
      <c r="F176" s="221"/>
      <c r="G176" s="221"/>
      <c r="H176" s="221"/>
      <c r="I176" s="221"/>
      <c r="J176" s="221"/>
      <c r="K176" s="221"/>
      <c r="L176" s="221"/>
      <c r="M176" s="221"/>
      <c r="N176" s="221"/>
      <c r="O176" s="221"/>
      <c r="P176" s="221"/>
      <c r="Q176" s="221"/>
      <c r="R176" s="221"/>
      <c r="S176" s="221"/>
      <c r="T176" s="221"/>
      <c r="U176" s="221"/>
      <c r="V176" s="221"/>
      <c r="W176" s="221"/>
      <c r="X176" s="221"/>
    </row>
    <row r="177" spans="5:24" x14ac:dyDescent="0.25">
      <c r="E177" s="221"/>
      <c r="F177" s="221"/>
      <c r="G177" s="221"/>
      <c r="H177" s="221"/>
      <c r="I177" s="221"/>
      <c r="J177" s="221"/>
      <c r="K177" s="221"/>
      <c r="L177" s="221"/>
      <c r="M177" s="221"/>
      <c r="N177" s="221"/>
      <c r="O177" s="221"/>
      <c r="P177" s="221"/>
      <c r="Q177" s="221"/>
      <c r="R177" s="221"/>
      <c r="S177" s="221"/>
      <c r="T177" s="221"/>
      <c r="U177" s="221"/>
      <c r="V177" s="221"/>
      <c r="W177" s="221"/>
      <c r="X177" s="221"/>
    </row>
    <row r="178" spans="5:24" x14ac:dyDescent="0.25">
      <c r="E178" s="221"/>
      <c r="F178" s="221"/>
      <c r="G178" s="221"/>
      <c r="H178" s="221"/>
      <c r="I178" s="221"/>
      <c r="J178" s="221"/>
      <c r="K178" s="221"/>
      <c r="L178" s="221"/>
      <c r="M178" s="221"/>
      <c r="N178" s="221"/>
      <c r="O178" s="221"/>
      <c r="P178" s="221"/>
      <c r="Q178" s="221"/>
      <c r="R178" s="221"/>
      <c r="S178" s="221"/>
      <c r="T178" s="221"/>
      <c r="U178" s="221"/>
      <c r="V178" s="221"/>
      <c r="W178" s="221"/>
      <c r="X178" s="221"/>
    </row>
    <row r="179" spans="5:24" x14ac:dyDescent="0.25">
      <c r="E179" s="221"/>
      <c r="F179" s="221"/>
      <c r="G179" s="221"/>
      <c r="H179" s="221"/>
      <c r="I179" s="221"/>
      <c r="J179" s="221"/>
      <c r="K179" s="221"/>
      <c r="L179" s="221"/>
      <c r="M179" s="221"/>
      <c r="N179" s="221"/>
      <c r="O179" s="221"/>
      <c r="P179" s="221"/>
      <c r="Q179" s="221"/>
      <c r="R179" s="221"/>
      <c r="S179" s="221"/>
      <c r="T179" s="221"/>
      <c r="U179" s="221"/>
      <c r="V179" s="221"/>
      <c r="W179" s="221"/>
      <c r="X179" s="221"/>
    </row>
    <row r="180" spans="5:24" x14ac:dyDescent="0.25">
      <c r="E180" s="221"/>
      <c r="F180" s="221"/>
      <c r="G180" s="221"/>
      <c r="H180" s="221"/>
      <c r="I180" s="221"/>
      <c r="J180" s="221"/>
      <c r="K180" s="221"/>
      <c r="L180" s="221"/>
      <c r="M180" s="221"/>
      <c r="N180" s="221"/>
      <c r="O180" s="221"/>
      <c r="P180" s="221"/>
      <c r="Q180" s="221"/>
      <c r="R180" s="221"/>
      <c r="S180" s="221"/>
      <c r="T180" s="221"/>
      <c r="U180" s="221"/>
      <c r="V180" s="221"/>
      <c r="W180" s="221"/>
      <c r="X180" s="221"/>
    </row>
    <row r="181" spans="5:24" x14ac:dyDescent="0.25">
      <c r="E181" s="221"/>
      <c r="F181" s="221"/>
      <c r="G181" s="221"/>
      <c r="H181" s="221"/>
      <c r="I181" s="221"/>
      <c r="J181" s="221"/>
      <c r="K181" s="221"/>
      <c r="L181" s="221"/>
      <c r="M181" s="221"/>
      <c r="N181" s="221"/>
      <c r="O181" s="221"/>
      <c r="P181" s="221"/>
      <c r="Q181" s="221"/>
      <c r="R181" s="221"/>
      <c r="S181" s="221"/>
      <c r="T181" s="221"/>
      <c r="U181" s="221"/>
      <c r="V181" s="221"/>
      <c r="W181" s="221"/>
      <c r="X181" s="221"/>
    </row>
    <row r="182" spans="5:24" x14ac:dyDescent="0.25">
      <c r="E182" s="221"/>
      <c r="F182" s="221"/>
      <c r="G182" s="221"/>
      <c r="H182" s="221"/>
      <c r="I182" s="221"/>
      <c r="J182" s="221"/>
      <c r="K182" s="221"/>
      <c r="L182" s="221"/>
      <c r="M182" s="221"/>
      <c r="N182" s="221"/>
      <c r="O182" s="221"/>
      <c r="P182" s="221"/>
      <c r="Q182" s="221"/>
      <c r="R182" s="221"/>
      <c r="S182" s="221"/>
      <c r="T182" s="221"/>
      <c r="U182" s="221"/>
      <c r="V182" s="221"/>
      <c r="W182" s="221"/>
      <c r="X182" s="221"/>
    </row>
    <row r="183" spans="5:24" x14ac:dyDescent="0.25">
      <c r="E183" s="221"/>
      <c r="F183" s="221"/>
      <c r="G183" s="221"/>
      <c r="H183" s="221"/>
      <c r="I183" s="221"/>
      <c r="J183" s="221"/>
      <c r="K183" s="221"/>
      <c r="L183" s="221"/>
      <c r="M183" s="221"/>
      <c r="N183" s="221"/>
      <c r="O183" s="221"/>
      <c r="P183" s="221"/>
      <c r="Q183" s="221"/>
      <c r="R183" s="221"/>
      <c r="S183" s="221"/>
      <c r="T183" s="221"/>
      <c r="U183" s="221"/>
      <c r="V183" s="221"/>
      <c r="W183" s="221"/>
      <c r="X183" s="221"/>
    </row>
    <row r="184" spans="5:24" x14ac:dyDescent="0.25">
      <c r="E184" s="221"/>
      <c r="F184" s="221"/>
      <c r="G184" s="221"/>
      <c r="H184" s="221"/>
      <c r="I184" s="221"/>
      <c r="J184" s="221"/>
      <c r="K184" s="221"/>
      <c r="L184" s="221"/>
      <c r="M184" s="221"/>
      <c r="N184" s="221"/>
      <c r="O184" s="221"/>
      <c r="P184" s="221"/>
      <c r="Q184" s="221"/>
      <c r="R184" s="221"/>
      <c r="S184" s="221"/>
      <c r="T184" s="221"/>
      <c r="U184" s="221"/>
      <c r="V184" s="221"/>
      <c r="W184" s="221"/>
      <c r="X184" s="221"/>
    </row>
    <row r="185" spans="5:24" x14ac:dyDescent="0.25">
      <c r="E185" s="221"/>
      <c r="F185" s="221"/>
      <c r="G185" s="221"/>
      <c r="H185" s="221"/>
      <c r="I185" s="221"/>
      <c r="J185" s="221"/>
      <c r="K185" s="221"/>
      <c r="L185" s="221"/>
      <c r="M185" s="221"/>
      <c r="N185" s="221"/>
      <c r="O185" s="221"/>
      <c r="P185" s="221"/>
      <c r="Q185" s="221"/>
      <c r="R185" s="221"/>
      <c r="S185" s="221"/>
      <c r="T185" s="221"/>
      <c r="U185" s="221"/>
      <c r="V185" s="221"/>
      <c r="W185" s="221"/>
      <c r="X185" s="221"/>
    </row>
    <row r="186" spans="5:24" x14ac:dyDescent="0.25">
      <c r="E186" s="221"/>
      <c r="F186" s="221"/>
      <c r="G186" s="221"/>
      <c r="H186" s="221"/>
      <c r="I186" s="221"/>
      <c r="J186" s="221"/>
      <c r="K186" s="221"/>
      <c r="L186" s="221"/>
      <c r="M186" s="221"/>
      <c r="N186" s="221"/>
      <c r="O186" s="221"/>
      <c r="P186" s="221"/>
      <c r="Q186" s="221"/>
      <c r="R186" s="221"/>
      <c r="S186" s="221"/>
      <c r="T186" s="221"/>
      <c r="U186" s="221"/>
      <c r="V186" s="221"/>
      <c r="W186" s="221"/>
      <c r="X186" s="221"/>
    </row>
    <row r="187" spans="5:24" x14ac:dyDescent="0.25">
      <c r="E187" s="221"/>
      <c r="F187" s="221"/>
      <c r="G187" s="221"/>
      <c r="H187" s="221"/>
      <c r="I187" s="221"/>
      <c r="J187" s="221"/>
      <c r="K187" s="221"/>
      <c r="L187" s="221"/>
      <c r="M187" s="221"/>
      <c r="N187" s="221"/>
      <c r="O187" s="221"/>
      <c r="P187" s="221"/>
      <c r="Q187" s="221"/>
      <c r="R187" s="221"/>
      <c r="S187" s="221"/>
      <c r="T187" s="221"/>
      <c r="U187" s="221"/>
      <c r="V187" s="221"/>
      <c r="W187" s="221"/>
      <c r="X187" s="221"/>
    </row>
    <row r="188" spans="5:24" x14ac:dyDescent="0.25">
      <c r="E188" s="221"/>
      <c r="F188" s="221"/>
      <c r="G188" s="221"/>
      <c r="H188" s="221"/>
      <c r="I188" s="221"/>
      <c r="J188" s="221"/>
      <c r="K188" s="221"/>
      <c r="L188" s="221"/>
      <c r="M188" s="221"/>
      <c r="N188" s="221"/>
      <c r="O188" s="221"/>
      <c r="P188" s="221"/>
      <c r="Q188" s="221"/>
      <c r="R188" s="221"/>
      <c r="S188" s="221"/>
      <c r="T188" s="221"/>
      <c r="U188" s="221"/>
      <c r="V188" s="221"/>
      <c r="W188" s="221"/>
      <c r="X188" s="221"/>
    </row>
    <row r="189" spans="5:24" x14ac:dyDescent="0.25">
      <c r="E189" s="221"/>
      <c r="F189" s="221"/>
      <c r="G189" s="221"/>
      <c r="H189" s="221"/>
      <c r="I189" s="221"/>
      <c r="J189" s="221"/>
      <c r="K189" s="221"/>
      <c r="L189" s="221"/>
      <c r="M189" s="221"/>
      <c r="N189" s="221"/>
      <c r="O189" s="221"/>
      <c r="P189" s="221"/>
      <c r="Q189" s="221"/>
      <c r="R189" s="221"/>
      <c r="S189" s="221"/>
      <c r="T189" s="221"/>
      <c r="U189" s="221"/>
      <c r="V189" s="221"/>
      <c r="W189" s="221"/>
      <c r="X189" s="221"/>
    </row>
    <row r="190" spans="5:24" x14ac:dyDescent="0.25">
      <c r="E190" s="221"/>
      <c r="F190" s="221"/>
      <c r="G190" s="221"/>
      <c r="H190" s="221"/>
      <c r="I190" s="221"/>
      <c r="J190" s="221"/>
      <c r="K190" s="221"/>
      <c r="L190" s="221"/>
      <c r="M190" s="221"/>
      <c r="N190" s="221"/>
      <c r="O190" s="221"/>
      <c r="P190" s="221"/>
      <c r="Q190" s="221"/>
      <c r="R190" s="221"/>
      <c r="S190" s="221"/>
      <c r="T190" s="221"/>
      <c r="U190" s="221"/>
      <c r="V190" s="221"/>
      <c r="W190" s="221"/>
      <c r="X190" s="221"/>
    </row>
    <row r="191" spans="5:24" x14ac:dyDescent="0.25">
      <c r="E191" s="221"/>
      <c r="F191" s="221"/>
      <c r="G191" s="221"/>
      <c r="H191" s="221"/>
      <c r="I191" s="221"/>
      <c r="J191" s="221"/>
      <c r="K191" s="221"/>
      <c r="L191" s="221"/>
      <c r="M191" s="221"/>
      <c r="N191" s="221"/>
      <c r="O191" s="221"/>
      <c r="P191" s="221"/>
      <c r="Q191" s="221"/>
      <c r="R191" s="221"/>
      <c r="S191" s="221"/>
      <c r="T191" s="221"/>
      <c r="U191" s="221"/>
      <c r="V191" s="221"/>
      <c r="W191" s="221"/>
      <c r="X191" s="221"/>
    </row>
    <row r="192" spans="5:24" x14ac:dyDescent="0.25">
      <c r="E192" s="221"/>
      <c r="F192" s="221"/>
      <c r="G192" s="221"/>
      <c r="H192" s="221"/>
      <c r="I192" s="221"/>
      <c r="J192" s="221"/>
      <c r="K192" s="221"/>
      <c r="L192" s="221"/>
      <c r="M192" s="221"/>
      <c r="N192" s="221"/>
      <c r="O192" s="221"/>
      <c r="P192" s="221"/>
      <c r="Q192" s="221"/>
      <c r="R192" s="221"/>
      <c r="S192" s="221"/>
      <c r="T192" s="221"/>
      <c r="U192" s="221"/>
      <c r="V192" s="221"/>
      <c r="W192" s="221"/>
      <c r="X192" s="221"/>
    </row>
    <row r="193" spans="5:24" x14ac:dyDescent="0.25">
      <c r="E193" s="221"/>
      <c r="F193" s="221"/>
      <c r="G193" s="221"/>
      <c r="H193" s="221"/>
      <c r="I193" s="221"/>
      <c r="J193" s="221"/>
      <c r="K193" s="221"/>
      <c r="L193" s="221"/>
      <c r="M193" s="221"/>
      <c r="N193" s="221"/>
      <c r="O193" s="221"/>
      <c r="P193" s="221"/>
      <c r="Q193" s="221"/>
      <c r="R193" s="221"/>
      <c r="S193" s="221"/>
      <c r="T193" s="221"/>
      <c r="U193" s="221"/>
      <c r="V193" s="221"/>
      <c r="W193" s="221"/>
      <c r="X193" s="221"/>
    </row>
    <row r="194" spans="5:24" x14ac:dyDescent="0.25">
      <c r="E194" s="221"/>
      <c r="F194" s="221"/>
      <c r="G194" s="221"/>
      <c r="H194" s="221"/>
      <c r="I194" s="221"/>
      <c r="J194" s="221"/>
      <c r="K194" s="221"/>
      <c r="L194" s="221"/>
      <c r="M194" s="221"/>
      <c r="N194" s="221"/>
      <c r="O194" s="221"/>
      <c r="P194" s="221"/>
      <c r="Q194" s="221"/>
      <c r="R194" s="221"/>
      <c r="S194" s="221"/>
      <c r="T194" s="221"/>
      <c r="U194" s="221"/>
      <c r="V194" s="221"/>
      <c r="W194" s="221"/>
      <c r="X194" s="221"/>
    </row>
    <row r="195" spans="5:24" x14ac:dyDescent="0.25">
      <c r="E195" s="221"/>
      <c r="F195" s="221"/>
      <c r="G195" s="221"/>
      <c r="H195" s="221"/>
      <c r="I195" s="221"/>
      <c r="J195" s="221"/>
      <c r="K195" s="221"/>
      <c r="L195" s="221"/>
      <c r="M195" s="221"/>
      <c r="N195" s="221"/>
      <c r="O195" s="221"/>
      <c r="P195" s="221"/>
      <c r="Q195" s="221"/>
      <c r="R195" s="221"/>
      <c r="S195" s="221"/>
      <c r="T195" s="221"/>
      <c r="U195" s="221"/>
      <c r="V195" s="221"/>
      <c r="W195" s="221"/>
      <c r="X195" s="221"/>
    </row>
    <row r="196" spans="5:24" x14ac:dyDescent="0.25">
      <c r="E196" s="221"/>
      <c r="F196" s="221"/>
      <c r="G196" s="221"/>
      <c r="H196" s="221"/>
      <c r="I196" s="221"/>
      <c r="J196" s="221"/>
      <c r="K196" s="221"/>
      <c r="L196" s="221"/>
      <c r="M196" s="221"/>
      <c r="N196" s="221"/>
      <c r="O196" s="221"/>
      <c r="P196" s="221"/>
      <c r="Q196" s="221"/>
      <c r="R196" s="221"/>
      <c r="S196" s="221"/>
      <c r="T196" s="221"/>
      <c r="U196" s="221"/>
      <c r="V196" s="221"/>
      <c r="W196" s="221"/>
      <c r="X196" s="221"/>
    </row>
    <row r="197" spans="5:24" x14ac:dyDescent="0.25">
      <c r="E197" s="221"/>
      <c r="F197" s="221"/>
      <c r="G197" s="221"/>
      <c r="H197" s="221"/>
      <c r="I197" s="221"/>
      <c r="J197" s="221"/>
      <c r="K197" s="221"/>
      <c r="L197" s="221"/>
      <c r="M197" s="221"/>
      <c r="N197" s="221"/>
      <c r="O197" s="221"/>
      <c r="P197" s="221"/>
      <c r="Q197" s="221"/>
      <c r="R197" s="221"/>
      <c r="S197" s="221"/>
      <c r="T197" s="221"/>
      <c r="U197" s="221"/>
      <c r="V197" s="221"/>
      <c r="W197" s="221"/>
      <c r="X197" s="221"/>
    </row>
    <row r="198" spans="5:24" x14ac:dyDescent="0.25">
      <c r="E198" s="221"/>
      <c r="F198" s="221"/>
      <c r="G198" s="221"/>
      <c r="H198" s="221"/>
      <c r="I198" s="221"/>
      <c r="J198" s="221"/>
      <c r="K198" s="221"/>
      <c r="L198" s="221"/>
      <c r="M198" s="221"/>
      <c r="N198" s="221"/>
      <c r="O198" s="221"/>
      <c r="P198" s="221"/>
      <c r="Q198" s="221"/>
      <c r="R198" s="221"/>
      <c r="S198" s="221"/>
      <c r="T198" s="221"/>
      <c r="U198" s="221"/>
      <c r="V198" s="221"/>
      <c r="W198" s="221"/>
      <c r="X198" s="221"/>
    </row>
    <row r="199" spans="5:24" x14ac:dyDescent="0.25">
      <c r="E199" s="221"/>
      <c r="F199" s="221"/>
      <c r="G199" s="221"/>
      <c r="H199" s="221"/>
      <c r="I199" s="221"/>
      <c r="J199" s="221"/>
      <c r="K199" s="221"/>
      <c r="L199" s="221"/>
      <c r="M199" s="221"/>
      <c r="N199" s="221"/>
      <c r="O199" s="221"/>
      <c r="P199" s="221"/>
      <c r="Q199" s="221"/>
      <c r="R199" s="221"/>
      <c r="S199" s="221"/>
      <c r="T199" s="221"/>
      <c r="U199" s="221"/>
      <c r="V199" s="221"/>
      <c r="W199" s="221"/>
      <c r="X199" s="221"/>
    </row>
    <row r="200" spans="5:24" x14ac:dyDescent="0.25">
      <c r="E200" s="221"/>
      <c r="F200" s="221"/>
      <c r="G200" s="221"/>
      <c r="H200" s="221"/>
      <c r="I200" s="221"/>
      <c r="J200" s="221"/>
      <c r="K200" s="221"/>
      <c r="L200" s="221"/>
      <c r="M200" s="221"/>
      <c r="N200" s="221"/>
      <c r="O200" s="221"/>
      <c r="P200" s="221"/>
      <c r="Q200" s="221"/>
      <c r="R200" s="221"/>
      <c r="S200" s="221"/>
      <c r="T200" s="221"/>
      <c r="U200" s="221"/>
      <c r="V200" s="221"/>
      <c r="W200" s="221"/>
      <c r="X200" s="221"/>
    </row>
    <row r="201" spans="5:24" x14ac:dyDescent="0.25">
      <c r="E201" s="221"/>
      <c r="F201" s="221"/>
      <c r="G201" s="221"/>
      <c r="H201" s="221"/>
      <c r="I201" s="221"/>
      <c r="J201" s="221"/>
      <c r="K201" s="221"/>
      <c r="L201" s="221"/>
      <c r="M201" s="221"/>
      <c r="N201" s="221"/>
      <c r="O201" s="221"/>
      <c r="P201" s="221"/>
      <c r="Q201" s="221"/>
      <c r="R201" s="221"/>
      <c r="S201" s="221"/>
      <c r="T201" s="221"/>
      <c r="U201" s="221"/>
      <c r="V201" s="221"/>
      <c r="W201" s="221"/>
      <c r="X201" s="221"/>
    </row>
    <row r="202" spans="5:24" x14ac:dyDescent="0.25">
      <c r="E202" s="221"/>
      <c r="F202" s="221"/>
      <c r="G202" s="221"/>
      <c r="H202" s="221"/>
      <c r="I202" s="221"/>
      <c r="J202" s="221"/>
      <c r="K202" s="221"/>
      <c r="L202" s="221"/>
      <c r="M202" s="221"/>
      <c r="N202" s="221"/>
      <c r="O202" s="221"/>
      <c r="P202" s="221"/>
      <c r="Q202" s="221"/>
      <c r="R202" s="221"/>
      <c r="S202" s="221"/>
      <c r="T202" s="221"/>
      <c r="U202" s="221"/>
      <c r="V202" s="221"/>
      <c r="W202" s="221"/>
      <c r="X202" s="221"/>
    </row>
    <row r="203" spans="5:24" x14ac:dyDescent="0.25">
      <c r="E203" s="221"/>
      <c r="F203" s="221"/>
      <c r="G203" s="221"/>
      <c r="H203" s="221"/>
      <c r="I203" s="221"/>
      <c r="J203" s="221"/>
      <c r="K203" s="221"/>
      <c r="L203" s="221"/>
      <c r="M203" s="221"/>
      <c r="N203" s="221"/>
      <c r="O203" s="221"/>
      <c r="P203" s="221"/>
      <c r="Q203" s="221"/>
      <c r="R203" s="221"/>
      <c r="S203" s="221"/>
      <c r="T203" s="221"/>
      <c r="U203" s="221"/>
      <c r="V203" s="221"/>
      <c r="W203" s="221"/>
      <c r="X203" s="221"/>
    </row>
    <row r="204" spans="5:24" x14ac:dyDescent="0.25">
      <c r="E204" s="221"/>
      <c r="F204" s="221"/>
      <c r="G204" s="221"/>
      <c r="H204" s="221"/>
      <c r="I204" s="221"/>
      <c r="J204" s="221"/>
      <c r="K204" s="221"/>
      <c r="L204" s="221"/>
      <c r="M204" s="221"/>
      <c r="N204" s="221"/>
      <c r="O204" s="221"/>
      <c r="P204" s="221"/>
      <c r="Q204" s="221"/>
      <c r="R204" s="221"/>
      <c r="S204" s="221"/>
      <c r="T204" s="221"/>
      <c r="U204" s="221"/>
      <c r="V204" s="221"/>
      <c r="W204" s="221"/>
      <c r="X204" s="221"/>
    </row>
    <row r="205" spans="5:24" x14ac:dyDescent="0.25">
      <c r="E205" s="221"/>
      <c r="F205" s="221"/>
      <c r="G205" s="221"/>
      <c r="H205" s="221"/>
      <c r="I205" s="221"/>
      <c r="J205" s="221"/>
      <c r="K205" s="221"/>
      <c r="L205" s="221"/>
      <c r="M205" s="221"/>
      <c r="N205" s="221"/>
      <c r="O205" s="221"/>
      <c r="P205" s="221"/>
      <c r="Q205" s="221"/>
      <c r="R205" s="221"/>
      <c r="S205" s="221"/>
      <c r="T205" s="221"/>
      <c r="U205" s="221"/>
      <c r="V205" s="221"/>
      <c r="W205" s="221"/>
      <c r="X205" s="221"/>
    </row>
    <row r="206" spans="5:24" x14ac:dyDescent="0.25">
      <c r="E206" s="221"/>
      <c r="F206" s="221"/>
      <c r="G206" s="221"/>
      <c r="H206" s="221"/>
      <c r="I206" s="221"/>
      <c r="J206" s="221"/>
      <c r="K206" s="221"/>
      <c r="L206" s="221"/>
      <c r="M206" s="221"/>
      <c r="N206" s="221"/>
      <c r="O206" s="221"/>
      <c r="P206" s="221"/>
      <c r="Q206" s="221"/>
      <c r="R206" s="221"/>
      <c r="S206" s="221"/>
      <c r="T206" s="221"/>
      <c r="U206" s="221"/>
      <c r="V206" s="221"/>
      <c r="W206" s="221"/>
      <c r="X206" s="221"/>
    </row>
    <row r="207" spans="5:24" x14ac:dyDescent="0.25">
      <c r="E207" s="221"/>
      <c r="F207" s="221"/>
      <c r="G207" s="221"/>
      <c r="H207" s="221"/>
      <c r="I207" s="221"/>
      <c r="J207" s="221"/>
      <c r="K207" s="221"/>
      <c r="L207" s="221"/>
      <c r="M207" s="221"/>
      <c r="N207" s="221"/>
      <c r="O207" s="221"/>
      <c r="P207" s="221"/>
      <c r="Q207" s="221"/>
      <c r="R207" s="221"/>
      <c r="S207" s="221"/>
      <c r="T207" s="221"/>
      <c r="U207" s="221"/>
      <c r="V207" s="221"/>
      <c r="W207" s="221"/>
      <c r="X207" s="221"/>
    </row>
    <row r="208" spans="5:24" x14ac:dyDescent="0.25">
      <c r="E208" s="221"/>
      <c r="F208" s="221"/>
      <c r="G208" s="221"/>
      <c r="H208" s="221"/>
      <c r="I208" s="221"/>
      <c r="J208" s="221"/>
      <c r="K208" s="221"/>
      <c r="L208" s="221"/>
      <c r="M208" s="221"/>
      <c r="N208" s="221"/>
      <c r="O208" s="221"/>
      <c r="P208" s="221"/>
      <c r="Q208" s="221"/>
      <c r="R208" s="221"/>
      <c r="S208" s="221"/>
      <c r="T208" s="221"/>
      <c r="U208" s="221"/>
      <c r="V208" s="221"/>
      <c r="W208" s="221"/>
      <c r="X208" s="221"/>
    </row>
    <row r="209" spans="5:24" x14ac:dyDescent="0.25">
      <c r="E209" s="221"/>
      <c r="F209" s="221"/>
      <c r="G209" s="221"/>
      <c r="H209" s="221"/>
      <c r="I209" s="221"/>
      <c r="J209" s="221"/>
      <c r="K209" s="221"/>
      <c r="L209" s="221"/>
      <c r="M209" s="221"/>
      <c r="N209" s="221"/>
      <c r="O209" s="221"/>
      <c r="P209" s="221"/>
      <c r="Q209" s="221"/>
      <c r="R209" s="221"/>
      <c r="S209" s="221"/>
      <c r="T209" s="221"/>
      <c r="U209" s="221"/>
      <c r="V209" s="221"/>
      <c r="W209" s="221"/>
      <c r="X209" s="221"/>
    </row>
    <row r="210" spans="5:24" x14ac:dyDescent="0.25">
      <c r="E210" s="221"/>
      <c r="F210" s="221"/>
      <c r="G210" s="221"/>
      <c r="H210" s="221"/>
      <c r="I210" s="221"/>
      <c r="J210" s="221"/>
      <c r="K210" s="221"/>
      <c r="L210" s="221"/>
      <c r="M210" s="221"/>
      <c r="N210" s="221"/>
      <c r="O210" s="221"/>
      <c r="P210" s="221"/>
      <c r="Q210" s="221"/>
      <c r="R210" s="221"/>
      <c r="S210" s="221"/>
      <c r="T210" s="221"/>
      <c r="U210" s="221"/>
      <c r="V210" s="221"/>
      <c r="W210" s="221"/>
      <c r="X210" s="221"/>
    </row>
    <row r="211" spans="5:24" x14ac:dyDescent="0.25">
      <c r="E211" s="221"/>
      <c r="F211" s="221"/>
      <c r="G211" s="221"/>
      <c r="H211" s="221"/>
      <c r="I211" s="221"/>
      <c r="J211" s="221"/>
      <c r="K211" s="221"/>
      <c r="L211" s="221"/>
      <c r="M211" s="221"/>
      <c r="N211" s="221"/>
      <c r="O211" s="221"/>
      <c r="P211" s="221"/>
      <c r="Q211" s="221"/>
      <c r="R211" s="221"/>
      <c r="S211" s="221"/>
      <c r="T211" s="221"/>
      <c r="U211" s="221"/>
      <c r="V211" s="221"/>
      <c r="W211" s="221"/>
      <c r="X211" s="221"/>
    </row>
    <row r="212" spans="5:24" x14ac:dyDescent="0.25">
      <c r="E212" s="221"/>
      <c r="F212" s="221"/>
      <c r="G212" s="221"/>
      <c r="H212" s="221"/>
      <c r="I212" s="221"/>
      <c r="J212" s="221"/>
      <c r="K212" s="221"/>
      <c r="L212" s="221"/>
      <c r="M212" s="221"/>
      <c r="N212" s="221"/>
      <c r="O212" s="221"/>
      <c r="P212" s="221"/>
      <c r="Q212" s="221"/>
      <c r="R212" s="221"/>
      <c r="S212" s="221"/>
      <c r="T212" s="221"/>
      <c r="U212" s="221"/>
      <c r="V212" s="221"/>
      <c r="W212" s="221"/>
      <c r="X212" s="221"/>
    </row>
    <row r="213" spans="5:24" x14ac:dyDescent="0.25">
      <c r="E213" s="221"/>
      <c r="F213" s="221"/>
      <c r="G213" s="221"/>
      <c r="H213" s="221"/>
      <c r="I213" s="221"/>
      <c r="J213" s="221"/>
      <c r="K213" s="221"/>
      <c r="L213" s="221"/>
      <c r="M213" s="221"/>
      <c r="N213" s="221"/>
      <c r="O213" s="221"/>
      <c r="P213" s="221"/>
      <c r="Q213" s="221"/>
      <c r="R213" s="221"/>
      <c r="S213" s="221"/>
      <c r="T213" s="221"/>
      <c r="U213" s="221"/>
      <c r="V213" s="221"/>
      <c r="W213" s="221"/>
      <c r="X213" s="221"/>
    </row>
    <row r="214" spans="5:24" x14ac:dyDescent="0.25">
      <c r="E214" s="221"/>
      <c r="F214" s="221"/>
      <c r="G214" s="221"/>
      <c r="H214" s="221"/>
      <c r="I214" s="221"/>
      <c r="J214" s="221"/>
      <c r="K214" s="221"/>
      <c r="L214" s="221"/>
      <c r="M214" s="221"/>
      <c r="N214" s="221"/>
      <c r="O214" s="221"/>
      <c r="P214" s="221"/>
      <c r="Q214" s="221"/>
      <c r="R214" s="221"/>
      <c r="S214" s="221"/>
      <c r="T214" s="221"/>
      <c r="U214" s="221"/>
      <c r="V214" s="221"/>
      <c r="W214" s="221"/>
      <c r="X214" s="221"/>
    </row>
    <row r="215" spans="5:24" x14ac:dyDescent="0.25">
      <c r="E215" s="221"/>
      <c r="F215" s="221"/>
      <c r="G215" s="221"/>
      <c r="H215" s="221"/>
      <c r="I215" s="221"/>
      <c r="J215" s="221"/>
      <c r="K215" s="221"/>
      <c r="L215" s="221"/>
      <c r="M215" s="221"/>
      <c r="N215" s="221"/>
      <c r="O215" s="221"/>
      <c r="P215" s="221"/>
      <c r="Q215" s="221"/>
      <c r="R215" s="221"/>
      <c r="S215" s="221"/>
      <c r="T215" s="221"/>
      <c r="U215" s="221"/>
      <c r="V215" s="221"/>
      <c r="W215" s="221"/>
      <c r="X215" s="221"/>
    </row>
    <row r="216" spans="5:24" x14ac:dyDescent="0.25">
      <c r="E216" s="221"/>
      <c r="F216" s="221"/>
      <c r="G216" s="221"/>
      <c r="H216" s="221"/>
      <c r="I216" s="221"/>
      <c r="J216" s="221"/>
      <c r="K216" s="221"/>
      <c r="L216" s="221"/>
      <c r="M216" s="221"/>
      <c r="N216" s="221"/>
      <c r="O216" s="221"/>
      <c r="P216" s="221"/>
      <c r="Q216" s="221"/>
      <c r="R216" s="221"/>
      <c r="S216" s="221"/>
      <c r="T216" s="221"/>
      <c r="U216" s="221"/>
      <c r="V216" s="221"/>
      <c r="W216" s="221"/>
      <c r="X216" s="221"/>
    </row>
    <row r="217" spans="5:24" x14ac:dyDescent="0.25">
      <c r="E217" s="221"/>
      <c r="F217" s="221"/>
      <c r="G217" s="221"/>
      <c r="H217" s="221"/>
      <c r="I217" s="221"/>
      <c r="J217" s="221"/>
      <c r="K217" s="221"/>
      <c r="L217" s="221"/>
      <c r="M217" s="221"/>
      <c r="N217" s="221"/>
      <c r="O217" s="221"/>
      <c r="P217" s="221"/>
      <c r="Q217" s="221"/>
      <c r="R217" s="221"/>
      <c r="S217" s="221"/>
      <c r="T217" s="221"/>
      <c r="U217" s="221"/>
      <c r="V217" s="221"/>
      <c r="W217" s="221"/>
      <c r="X217" s="221"/>
    </row>
    <row r="218" spans="5:24" x14ac:dyDescent="0.25">
      <c r="E218" s="221"/>
      <c r="F218" s="221"/>
      <c r="G218" s="221"/>
      <c r="H218" s="221"/>
      <c r="I218" s="221"/>
      <c r="J218" s="221"/>
      <c r="K218" s="221"/>
      <c r="L218" s="221"/>
      <c r="M218" s="221"/>
      <c r="N218" s="221"/>
      <c r="O218" s="221"/>
      <c r="P218" s="221"/>
      <c r="Q218" s="221"/>
      <c r="R218" s="221"/>
      <c r="S218" s="221"/>
      <c r="T218" s="221"/>
      <c r="U218" s="221"/>
      <c r="V218" s="221"/>
      <c r="W218" s="221"/>
      <c r="X218" s="221"/>
    </row>
    <row r="219" spans="5:24" x14ac:dyDescent="0.25">
      <c r="E219" s="221"/>
      <c r="F219" s="221"/>
      <c r="G219" s="221"/>
      <c r="H219" s="221"/>
      <c r="I219" s="221"/>
      <c r="J219" s="221"/>
      <c r="K219" s="221"/>
      <c r="L219" s="221"/>
      <c r="M219" s="221"/>
      <c r="N219" s="221"/>
      <c r="O219" s="221"/>
      <c r="P219" s="221"/>
      <c r="Q219" s="221"/>
      <c r="R219" s="221"/>
      <c r="S219" s="221"/>
      <c r="T219" s="221"/>
      <c r="U219" s="221"/>
      <c r="V219" s="221"/>
      <c r="W219" s="221"/>
      <c r="X219" s="221"/>
    </row>
    <row r="220" spans="5:24" x14ac:dyDescent="0.25">
      <c r="E220" s="221"/>
      <c r="F220" s="221"/>
      <c r="G220" s="221"/>
      <c r="H220" s="221"/>
      <c r="I220" s="221"/>
      <c r="J220" s="221"/>
      <c r="K220" s="221"/>
      <c r="L220" s="221"/>
      <c r="M220" s="221"/>
      <c r="N220" s="221"/>
      <c r="O220" s="221"/>
      <c r="P220" s="221"/>
      <c r="Q220" s="221"/>
      <c r="R220" s="221"/>
      <c r="S220" s="221"/>
      <c r="T220" s="221"/>
      <c r="U220" s="221"/>
      <c r="V220" s="221"/>
      <c r="W220" s="221"/>
      <c r="X220" s="221"/>
    </row>
    <row r="221" spans="5:24" x14ac:dyDescent="0.25">
      <c r="E221" s="221"/>
      <c r="F221" s="221"/>
      <c r="G221" s="221"/>
      <c r="H221" s="221"/>
      <c r="I221" s="221"/>
      <c r="J221" s="221"/>
      <c r="K221" s="221"/>
      <c r="L221" s="221"/>
      <c r="M221" s="221"/>
      <c r="N221" s="221"/>
      <c r="O221" s="221"/>
      <c r="P221" s="221"/>
      <c r="Q221" s="221"/>
      <c r="R221" s="221"/>
      <c r="S221" s="221"/>
      <c r="T221" s="221"/>
      <c r="U221" s="221"/>
      <c r="V221" s="221"/>
      <c r="W221" s="221"/>
      <c r="X221" s="221"/>
    </row>
    <row r="222" spans="5:24" x14ac:dyDescent="0.25">
      <c r="E222" s="221"/>
      <c r="F222" s="221"/>
      <c r="G222" s="221"/>
      <c r="H222" s="221"/>
      <c r="I222" s="221"/>
      <c r="J222" s="221"/>
      <c r="K222" s="221"/>
      <c r="L222" s="221"/>
      <c r="M222" s="221"/>
      <c r="N222" s="221"/>
      <c r="O222" s="221"/>
      <c r="P222" s="221"/>
      <c r="Q222" s="221"/>
      <c r="R222" s="221"/>
      <c r="S222" s="221"/>
      <c r="T222" s="221"/>
      <c r="U222" s="221"/>
      <c r="V222" s="221"/>
      <c r="W222" s="221"/>
      <c r="X222" s="221"/>
    </row>
    <row r="223" spans="5:24" x14ac:dyDescent="0.25">
      <c r="E223" s="221"/>
      <c r="F223" s="221"/>
      <c r="G223" s="221"/>
      <c r="H223" s="221"/>
      <c r="I223" s="221"/>
      <c r="J223" s="221"/>
      <c r="K223" s="221"/>
      <c r="L223" s="221"/>
      <c r="M223" s="221"/>
      <c r="N223" s="221"/>
      <c r="O223" s="221"/>
      <c r="P223" s="221"/>
      <c r="Q223" s="221"/>
      <c r="R223" s="221"/>
      <c r="S223" s="221"/>
      <c r="T223" s="221"/>
      <c r="U223" s="221"/>
      <c r="V223" s="221"/>
      <c r="W223" s="221"/>
      <c r="X223" s="221"/>
    </row>
    <row r="224" spans="5:24" x14ac:dyDescent="0.25">
      <c r="E224" s="221"/>
      <c r="F224" s="221"/>
      <c r="G224" s="221"/>
      <c r="H224" s="221"/>
      <c r="I224" s="221"/>
      <c r="J224" s="221"/>
      <c r="K224" s="221"/>
      <c r="L224" s="221"/>
      <c r="M224" s="221"/>
      <c r="N224" s="221"/>
      <c r="O224" s="221"/>
      <c r="P224" s="221"/>
      <c r="Q224" s="221"/>
      <c r="R224" s="221"/>
      <c r="S224" s="221"/>
      <c r="T224" s="221"/>
      <c r="U224" s="221"/>
      <c r="V224" s="221"/>
      <c r="W224" s="221"/>
      <c r="X224" s="221"/>
    </row>
    <row r="225" spans="5:24" x14ac:dyDescent="0.25">
      <c r="E225" s="221"/>
      <c r="F225" s="221"/>
      <c r="G225" s="221"/>
      <c r="H225" s="221"/>
      <c r="I225" s="221"/>
      <c r="J225" s="221"/>
      <c r="K225" s="221"/>
      <c r="L225" s="221"/>
      <c r="M225" s="221"/>
      <c r="N225" s="221"/>
      <c r="O225" s="221"/>
      <c r="P225" s="221"/>
      <c r="Q225" s="221"/>
      <c r="R225" s="221"/>
      <c r="S225" s="221"/>
      <c r="T225" s="221"/>
      <c r="U225" s="221"/>
      <c r="V225" s="221"/>
      <c r="W225" s="221"/>
      <c r="X225" s="221"/>
    </row>
    <row r="226" spans="5:24" x14ac:dyDescent="0.25">
      <c r="E226" s="221"/>
      <c r="F226" s="221"/>
      <c r="G226" s="221"/>
      <c r="H226" s="221"/>
      <c r="I226" s="221"/>
      <c r="J226" s="221"/>
      <c r="K226" s="221"/>
      <c r="L226" s="221"/>
      <c r="M226" s="221"/>
      <c r="N226" s="221"/>
      <c r="O226" s="221"/>
      <c r="P226" s="221"/>
      <c r="Q226" s="221"/>
      <c r="R226" s="221"/>
      <c r="S226" s="221"/>
      <c r="T226" s="221"/>
      <c r="U226" s="221"/>
      <c r="V226" s="221"/>
      <c r="W226" s="221"/>
      <c r="X226" s="221"/>
    </row>
    <row r="227" spans="5:24" x14ac:dyDescent="0.25">
      <c r="E227" s="221"/>
      <c r="F227" s="221"/>
      <c r="G227" s="221"/>
      <c r="H227" s="221"/>
      <c r="I227" s="221"/>
      <c r="J227" s="221"/>
      <c r="K227" s="221"/>
      <c r="L227" s="221"/>
      <c r="M227" s="221"/>
      <c r="N227" s="221"/>
      <c r="O227" s="221"/>
      <c r="P227" s="221"/>
      <c r="Q227" s="221"/>
      <c r="R227" s="221"/>
      <c r="S227" s="221"/>
      <c r="T227" s="221"/>
      <c r="U227" s="221"/>
      <c r="V227" s="221"/>
      <c r="W227" s="221"/>
      <c r="X227" s="221"/>
    </row>
    <row r="228" spans="5:24" x14ac:dyDescent="0.25">
      <c r="E228" s="221"/>
      <c r="F228" s="221"/>
      <c r="G228" s="221"/>
      <c r="H228" s="221"/>
      <c r="I228" s="221"/>
      <c r="J228" s="221"/>
      <c r="K228" s="221"/>
      <c r="L228" s="221"/>
      <c r="M228" s="221"/>
      <c r="N228" s="221"/>
      <c r="O228" s="221"/>
      <c r="P228" s="221"/>
      <c r="Q228" s="221"/>
      <c r="R228" s="221"/>
      <c r="S228" s="221"/>
      <c r="T228" s="221"/>
      <c r="U228" s="221"/>
      <c r="V228" s="221"/>
      <c r="W228" s="221"/>
      <c r="X228" s="221"/>
    </row>
    <row r="229" spans="5:24" x14ac:dyDescent="0.25">
      <c r="E229" s="221"/>
      <c r="F229" s="221"/>
      <c r="G229" s="221"/>
      <c r="H229" s="221"/>
      <c r="I229" s="221"/>
      <c r="J229" s="221"/>
      <c r="K229" s="221"/>
      <c r="L229" s="221"/>
      <c r="M229" s="221"/>
      <c r="N229" s="221"/>
      <c r="O229" s="221"/>
      <c r="P229" s="221"/>
      <c r="Q229" s="221"/>
      <c r="R229" s="221"/>
      <c r="S229" s="221"/>
      <c r="T229" s="221"/>
      <c r="U229" s="221"/>
      <c r="V229" s="221"/>
      <c r="W229" s="221"/>
      <c r="X229" s="221"/>
    </row>
    <row r="230" spans="5:24" x14ac:dyDescent="0.25">
      <c r="E230" s="221"/>
      <c r="F230" s="221"/>
      <c r="G230" s="221"/>
      <c r="H230" s="221"/>
      <c r="I230" s="221"/>
      <c r="J230" s="221"/>
      <c r="K230" s="221"/>
      <c r="L230" s="221"/>
      <c r="M230" s="221"/>
      <c r="N230" s="221"/>
      <c r="O230" s="221"/>
      <c r="P230" s="221"/>
      <c r="Q230" s="221"/>
      <c r="R230" s="221"/>
      <c r="S230" s="221"/>
      <c r="T230" s="221"/>
      <c r="U230" s="221"/>
      <c r="V230" s="221"/>
      <c r="W230" s="221"/>
      <c r="X230" s="221"/>
    </row>
    <row r="231" spans="5:24" x14ac:dyDescent="0.25">
      <c r="E231" s="221"/>
      <c r="F231" s="221"/>
      <c r="G231" s="221"/>
      <c r="H231" s="221"/>
      <c r="I231" s="221"/>
      <c r="J231" s="221"/>
      <c r="K231" s="221"/>
      <c r="L231" s="221"/>
      <c r="M231" s="221"/>
      <c r="N231" s="221"/>
      <c r="O231" s="221"/>
      <c r="P231" s="221"/>
      <c r="Q231" s="221"/>
      <c r="R231" s="221"/>
      <c r="S231" s="221"/>
      <c r="T231" s="221"/>
      <c r="U231" s="221"/>
      <c r="V231" s="221"/>
      <c r="W231" s="221"/>
      <c r="X231" s="221"/>
    </row>
    <row r="232" spans="5:24" x14ac:dyDescent="0.25">
      <c r="E232" s="221"/>
      <c r="F232" s="221"/>
      <c r="G232" s="221"/>
      <c r="H232" s="221"/>
      <c r="I232" s="221"/>
      <c r="J232" s="221"/>
      <c r="K232" s="221"/>
      <c r="L232" s="221"/>
      <c r="M232" s="221"/>
      <c r="N232" s="221"/>
      <c r="O232" s="221"/>
      <c r="P232" s="221"/>
      <c r="Q232" s="221"/>
      <c r="R232" s="221"/>
      <c r="S232" s="221"/>
      <c r="T232" s="221"/>
      <c r="U232" s="221"/>
      <c r="V232" s="221"/>
      <c r="W232" s="221"/>
      <c r="X232" s="221"/>
    </row>
    <row r="233" spans="5:24" x14ac:dyDescent="0.25">
      <c r="E233" s="221"/>
      <c r="F233" s="221"/>
      <c r="G233" s="221"/>
      <c r="H233" s="221"/>
      <c r="I233" s="221"/>
      <c r="J233" s="221"/>
      <c r="K233" s="221"/>
      <c r="L233" s="221"/>
      <c r="M233" s="221"/>
      <c r="N233" s="221"/>
      <c r="O233" s="221"/>
      <c r="P233" s="221"/>
      <c r="Q233" s="221"/>
      <c r="R233" s="221"/>
      <c r="S233" s="221"/>
      <c r="T233" s="221"/>
      <c r="U233" s="221"/>
      <c r="V233" s="221"/>
      <c r="W233" s="221"/>
      <c r="X233" s="221"/>
    </row>
    <row r="234" spans="5:24" x14ac:dyDescent="0.25">
      <c r="E234" s="221"/>
      <c r="F234" s="221"/>
      <c r="G234" s="221"/>
      <c r="H234" s="221"/>
      <c r="I234" s="221"/>
      <c r="J234" s="221"/>
      <c r="K234" s="221"/>
      <c r="L234" s="221"/>
      <c r="M234" s="221"/>
      <c r="N234" s="221"/>
      <c r="O234" s="221"/>
      <c r="P234" s="221"/>
      <c r="Q234" s="221"/>
      <c r="R234" s="221"/>
      <c r="S234" s="221"/>
      <c r="T234" s="221"/>
      <c r="U234" s="221"/>
      <c r="V234" s="221"/>
      <c r="W234" s="221"/>
      <c r="X234" s="221"/>
    </row>
    <row r="235" spans="5:24" x14ac:dyDescent="0.25">
      <c r="E235" s="221"/>
      <c r="F235" s="221"/>
      <c r="G235" s="221"/>
      <c r="H235" s="221"/>
      <c r="I235" s="221"/>
      <c r="J235" s="221"/>
      <c r="K235" s="221"/>
      <c r="L235" s="221"/>
      <c r="M235" s="221"/>
      <c r="N235" s="221"/>
      <c r="O235" s="221"/>
      <c r="P235" s="221"/>
      <c r="Q235" s="221"/>
      <c r="R235" s="221"/>
      <c r="S235" s="221"/>
      <c r="T235" s="221"/>
      <c r="U235" s="221"/>
      <c r="V235" s="221"/>
      <c r="W235" s="221"/>
      <c r="X235" s="221"/>
    </row>
    <row r="236" spans="5:24" x14ac:dyDescent="0.25">
      <c r="E236" s="221"/>
      <c r="F236" s="221"/>
      <c r="G236" s="221"/>
      <c r="H236" s="221"/>
      <c r="I236" s="221"/>
      <c r="J236" s="221"/>
      <c r="K236" s="221"/>
      <c r="L236" s="221"/>
      <c r="M236" s="221"/>
      <c r="N236" s="221"/>
      <c r="O236" s="221"/>
      <c r="P236" s="221"/>
      <c r="Q236" s="221"/>
      <c r="R236" s="221"/>
      <c r="S236" s="221"/>
      <c r="T236" s="221"/>
      <c r="U236" s="221"/>
      <c r="V236" s="221"/>
      <c r="W236" s="221"/>
      <c r="X236" s="221"/>
    </row>
    <row r="237" spans="5:24" x14ac:dyDescent="0.25">
      <c r="E237" s="221"/>
      <c r="F237" s="221"/>
      <c r="G237" s="221"/>
      <c r="H237" s="221"/>
      <c r="I237" s="221"/>
      <c r="J237" s="221"/>
      <c r="K237" s="221"/>
      <c r="L237" s="221"/>
      <c r="M237" s="221"/>
      <c r="N237" s="221"/>
      <c r="O237" s="221"/>
      <c r="P237" s="221"/>
      <c r="Q237" s="221"/>
      <c r="R237" s="221"/>
      <c r="S237" s="221"/>
      <c r="T237" s="221"/>
      <c r="U237" s="221"/>
      <c r="V237" s="221"/>
      <c r="W237" s="221"/>
      <c r="X237" s="221"/>
    </row>
    <row r="238" spans="5:24" x14ac:dyDescent="0.25">
      <c r="E238" s="221"/>
      <c r="F238" s="221"/>
      <c r="G238" s="221"/>
      <c r="H238" s="221"/>
      <c r="I238" s="221"/>
      <c r="J238" s="221"/>
      <c r="K238" s="221"/>
      <c r="L238" s="221"/>
      <c r="M238" s="221"/>
      <c r="N238" s="221"/>
      <c r="O238" s="221"/>
      <c r="P238" s="221"/>
      <c r="Q238" s="221"/>
      <c r="R238" s="221"/>
      <c r="S238" s="221"/>
      <c r="T238" s="221"/>
      <c r="U238" s="221"/>
      <c r="V238" s="221"/>
      <c r="W238" s="221"/>
      <c r="X238" s="221"/>
    </row>
    <row r="239" spans="5:24" x14ac:dyDescent="0.25">
      <c r="E239" s="221"/>
      <c r="F239" s="221"/>
      <c r="G239" s="221"/>
      <c r="H239" s="221"/>
      <c r="I239" s="221"/>
      <c r="J239" s="221"/>
      <c r="K239" s="221"/>
      <c r="L239" s="221"/>
      <c r="M239" s="221"/>
      <c r="N239" s="221"/>
      <c r="O239" s="221"/>
      <c r="P239" s="221"/>
      <c r="Q239" s="221"/>
      <c r="R239" s="221"/>
      <c r="S239" s="221"/>
      <c r="T239" s="221"/>
      <c r="U239" s="221"/>
      <c r="V239" s="221"/>
      <c r="W239" s="221"/>
      <c r="X239" s="221"/>
    </row>
    <row r="240" spans="5:24" x14ac:dyDescent="0.25">
      <c r="E240" s="221"/>
      <c r="F240" s="221"/>
      <c r="G240" s="221"/>
      <c r="H240" s="221"/>
      <c r="I240" s="221"/>
      <c r="J240" s="221"/>
      <c r="K240" s="221"/>
      <c r="L240" s="221"/>
      <c r="M240" s="221"/>
      <c r="N240" s="221"/>
      <c r="O240" s="221"/>
      <c r="P240" s="221"/>
      <c r="Q240" s="221"/>
      <c r="R240" s="221"/>
      <c r="S240" s="221"/>
      <c r="T240" s="221"/>
      <c r="U240" s="221"/>
      <c r="V240" s="221"/>
      <c r="W240" s="221"/>
      <c r="X240" s="221"/>
    </row>
    <row r="241" spans="5:24" x14ac:dyDescent="0.25">
      <c r="E241" s="221"/>
      <c r="F241" s="221"/>
      <c r="G241" s="221"/>
      <c r="H241" s="221"/>
      <c r="I241" s="221"/>
      <c r="J241" s="221"/>
      <c r="K241" s="221"/>
      <c r="L241" s="221"/>
      <c r="M241" s="221"/>
      <c r="N241" s="221"/>
      <c r="O241" s="221"/>
      <c r="P241" s="221"/>
      <c r="Q241" s="221"/>
      <c r="R241" s="221"/>
      <c r="S241" s="221"/>
      <c r="T241" s="221"/>
      <c r="U241" s="221"/>
      <c r="V241" s="221"/>
      <c r="W241" s="221"/>
      <c r="X241" s="221"/>
    </row>
    <row r="242" spans="5:24" x14ac:dyDescent="0.25">
      <c r="E242" s="221"/>
      <c r="F242" s="221"/>
      <c r="G242" s="221"/>
      <c r="H242" s="221"/>
      <c r="I242" s="221"/>
      <c r="J242" s="221"/>
      <c r="K242" s="221"/>
      <c r="L242" s="221"/>
      <c r="M242" s="221"/>
      <c r="N242" s="221"/>
      <c r="O242" s="221"/>
      <c r="P242" s="221"/>
      <c r="Q242" s="221"/>
      <c r="R242" s="221"/>
      <c r="S242" s="221"/>
      <c r="T242" s="221"/>
      <c r="U242" s="221"/>
      <c r="V242" s="221"/>
      <c r="W242" s="221"/>
      <c r="X242" s="221"/>
    </row>
    <row r="243" spans="5:24" x14ac:dyDescent="0.25">
      <c r="E243" s="221"/>
      <c r="F243" s="221"/>
      <c r="G243" s="221"/>
      <c r="H243" s="221"/>
      <c r="I243" s="221"/>
      <c r="J243" s="221"/>
      <c r="K243" s="221"/>
      <c r="L243" s="221"/>
      <c r="M243" s="221"/>
      <c r="N243" s="221"/>
      <c r="O243" s="221"/>
      <c r="P243" s="221"/>
      <c r="Q243" s="221"/>
      <c r="R243" s="221"/>
      <c r="S243" s="221"/>
      <c r="T243" s="221"/>
      <c r="U243" s="221"/>
      <c r="V243" s="221"/>
      <c r="W243" s="221"/>
      <c r="X243" s="221"/>
    </row>
    <row r="244" spans="5:24" x14ac:dyDescent="0.25">
      <c r="E244" s="221"/>
      <c r="F244" s="221"/>
      <c r="G244" s="221"/>
      <c r="H244" s="221"/>
      <c r="I244" s="221"/>
      <c r="J244" s="221"/>
      <c r="K244" s="221"/>
      <c r="L244" s="221"/>
      <c r="M244" s="221"/>
      <c r="N244" s="221"/>
      <c r="O244" s="221"/>
      <c r="P244" s="221"/>
      <c r="Q244" s="221"/>
      <c r="R244" s="221"/>
      <c r="S244" s="221"/>
      <c r="T244" s="221"/>
      <c r="U244" s="221"/>
      <c r="V244" s="221"/>
      <c r="W244" s="221"/>
      <c r="X244" s="221"/>
    </row>
    <row r="245" spans="5:24" x14ac:dyDescent="0.25">
      <c r="E245" s="221"/>
      <c r="F245" s="221"/>
      <c r="G245" s="221"/>
      <c r="H245" s="221"/>
      <c r="I245" s="221"/>
      <c r="J245" s="221"/>
      <c r="K245" s="221"/>
      <c r="L245" s="221"/>
      <c r="M245" s="221"/>
      <c r="N245" s="221"/>
      <c r="O245" s="221"/>
      <c r="P245" s="221"/>
      <c r="Q245" s="221"/>
      <c r="R245" s="221"/>
      <c r="S245" s="221"/>
      <c r="T245" s="221"/>
      <c r="U245" s="221"/>
      <c r="V245" s="221"/>
      <c r="W245" s="221"/>
      <c r="X245" s="221"/>
    </row>
    <row r="246" spans="5:24" x14ac:dyDescent="0.25">
      <c r="E246" s="221"/>
      <c r="F246" s="221"/>
      <c r="G246" s="221"/>
      <c r="H246" s="221"/>
      <c r="I246" s="221"/>
      <c r="J246" s="221"/>
      <c r="K246" s="221"/>
      <c r="L246" s="221"/>
      <c r="M246" s="221"/>
      <c r="N246" s="221"/>
      <c r="O246" s="221"/>
      <c r="P246" s="221"/>
      <c r="Q246" s="221"/>
      <c r="R246" s="221"/>
      <c r="S246" s="221"/>
      <c r="T246" s="221"/>
      <c r="U246" s="221"/>
      <c r="V246" s="221"/>
      <c r="W246" s="221"/>
      <c r="X246" s="221"/>
    </row>
    <row r="247" spans="5:24" x14ac:dyDescent="0.25">
      <c r="E247" s="221"/>
      <c r="F247" s="221"/>
      <c r="G247" s="221"/>
      <c r="H247" s="221"/>
      <c r="I247" s="221"/>
      <c r="J247" s="221"/>
      <c r="K247" s="221"/>
      <c r="L247" s="221"/>
      <c r="M247" s="221"/>
      <c r="N247" s="221"/>
      <c r="O247" s="221"/>
      <c r="P247" s="221"/>
      <c r="Q247" s="221"/>
      <c r="R247" s="221"/>
      <c r="S247" s="221"/>
      <c r="T247" s="221"/>
      <c r="U247" s="221"/>
      <c r="V247" s="221"/>
      <c r="W247" s="221"/>
      <c r="X247" s="221"/>
    </row>
    <row r="248" spans="5:24" x14ac:dyDescent="0.25">
      <c r="E248" s="221"/>
      <c r="F248" s="221"/>
      <c r="G248" s="221"/>
      <c r="H248" s="221"/>
      <c r="I248" s="221"/>
      <c r="J248" s="221"/>
      <c r="K248" s="221"/>
      <c r="L248" s="221"/>
      <c r="M248" s="221"/>
      <c r="N248" s="221"/>
      <c r="O248" s="221"/>
      <c r="P248" s="221"/>
      <c r="Q248" s="221"/>
      <c r="R248" s="221"/>
      <c r="S248" s="221"/>
      <c r="T248" s="221"/>
      <c r="U248" s="221"/>
      <c r="V248" s="221"/>
      <c r="W248" s="221"/>
      <c r="X248" s="221"/>
    </row>
    <row r="249" spans="5:24" x14ac:dyDescent="0.25">
      <c r="E249" s="221"/>
      <c r="F249" s="221"/>
      <c r="G249" s="221"/>
      <c r="H249" s="221"/>
      <c r="I249" s="221"/>
      <c r="J249" s="221"/>
      <c r="K249" s="221"/>
      <c r="L249" s="221"/>
      <c r="M249" s="221"/>
      <c r="N249" s="221"/>
      <c r="O249" s="221"/>
      <c r="P249" s="221"/>
      <c r="Q249" s="221"/>
      <c r="R249" s="221"/>
      <c r="S249" s="221"/>
      <c r="T249" s="221"/>
      <c r="U249" s="221"/>
      <c r="V249" s="221"/>
      <c r="W249" s="221"/>
      <c r="X249" s="221"/>
    </row>
    <row r="250" spans="5:24" x14ac:dyDescent="0.25">
      <c r="E250" s="221"/>
      <c r="F250" s="221"/>
      <c r="G250" s="221"/>
      <c r="H250" s="221"/>
      <c r="I250" s="221"/>
      <c r="J250" s="221"/>
      <c r="K250" s="221"/>
      <c r="L250" s="221"/>
      <c r="M250" s="221"/>
      <c r="N250" s="221"/>
      <c r="O250" s="221"/>
      <c r="P250" s="221"/>
      <c r="Q250" s="221"/>
      <c r="R250" s="221"/>
      <c r="S250" s="221"/>
      <c r="T250" s="221"/>
      <c r="U250" s="221"/>
      <c r="V250" s="221"/>
      <c r="W250" s="221"/>
      <c r="X250" s="221"/>
    </row>
    <row r="251" spans="5:24" x14ac:dyDescent="0.25">
      <c r="E251" s="221"/>
      <c r="F251" s="221"/>
      <c r="G251" s="221"/>
      <c r="H251" s="221"/>
      <c r="I251" s="221"/>
      <c r="J251" s="221"/>
      <c r="K251" s="221"/>
      <c r="L251" s="221"/>
      <c r="M251" s="221"/>
      <c r="N251" s="221"/>
      <c r="O251" s="221"/>
      <c r="P251" s="221"/>
      <c r="Q251" s="221"/>
      <c r="R251" s="221"/>
      <c r="S251" s="221"/>
      <c r="T251" s="221"/>
      <c r="U251" s="221"/>
      <c r="V251" s="221"/>
      <c r="W251" s="221"/>
      <c r="X251" s="221"/>
    </row>
    <row r="252" spans="5:24" x14ac:dyDescent="0.25">
      <c r="E252" s="221"/>
      <c r="F252" s="221"/>
      <c r="G252" s="221"/>
      <c r="H252" s="221"/>
      <c r="I252" s="221"/>
      <c r="J252" s="221"/>
      <c r="K252" s="221"/>
      <c r="L252" s="221"/>
      <c r="M252" s="221"/>
      <c r="N252" s="221"/>
      <c r="O252" s="221"/>
      <c r="P252" s="221"/>
      <c r="Q252" s="221"/>
      <c r="R252" s="221"/>
      <c r="S252" s="221"/>
      <c r="T252" s="221"/>
      <c r="U252" s="221"/>
      <c r="V252" s="221"/>
      <c r="W252" s="221"/>
      <c r="X252" s="221"/>
    </row>
    <row r="253" spans="5:24" x14ac:dyDescent="0.25">
      <c r="E253" s="221"/>
      <c r="F253" s="221"/>
      <c r="G253" s="221"/>
      <c r="H253" s="221"/>
      <c r="I253" s="221"/>
      <c r="J253" s="221"/>
      <c r="K253" s="221"/>
      <c r="L253" s="221"/>
      <c r="M253" s="221"/>
      <c r="N253" s="221"/>
      <c r="O253" s="221"/>
      <c r="P253" s="221"/>
      <c r="Q253" s="221"/>
      <c r="R253" s="221"/>
      <c r="S253" s="221"/>
      <c r="T253" s="221"/>
      <c r="U253" s="221"/>
      <c r="V253" s="221"/>
      <c r="W253" s="221"/>
      <c r="X253" s="221"/>
    </row>
    <row r="254" spans="5:24" x14ac:dyDescent="0.25">
      <c r="E254" s="221"/>
      <c r="F254" s="221"/>
      <c r="G254" s="221"/>
      <c r="H254" s="221"/>
      <c r="I254" s="221"/>
      <c r="J254" s="221"/>
      <c r="K254" s="221"/>
      <c r="L254" s="221"/>
      <c r="M254" s="221"/>
      <c r="N254" s="221"/>
      <c r="O254" s="221"/>
      <c r="P254" s="221"/>
      <c r="Q254" s="221"/>
      <c r="R254" s="221"/>
      <c r="S254" s="221"/>
      <c r="T254" s="221"/>
      <c r="U254" s="221"/>
      <c r="V254" s="221"/>
      <c r="W254" s="221"/>
      <c r="X254" s="221"/>
    </row>
    <row r="255" spans="5:24" x14ac:dyDescent="0.25">
      <c r="E255" s="221"/>
      <c r="F255" s="221"/>
      <c r="G255" s="221"/>
      <c r="H255" s="221"/>
      <c r="I255" s="221"/>
      <c r="J255" s="221"/>
      <c r="K255" s="221"/>
      <c r="L255" s="221"/>
      <c r="M255" s="221"/>
      <c r="N255" s="221"/>
      <c r="O255" s="221"/>
      <c r="P255" s="221"/>
      <c r="Q255" s="221"/>
      <c r="R255" s="221"/>
      <c r="S255" s="221"/>
      <c r="T255" s="221"/>
      <c r="U255" s="221"/>
      <c r="V255" s="221"/>
      <c r="W255" s="221"/>
      <c r="X255" s="221"/>
    </row>
    <row r="256" spans="5:24" x14ac:dyDescent="0.25">
      <c r="E256" s="221"/>
      <c r="F256" s="221"/>
      <c r="G256" s="221"/>
      <c r="H256" s="221"/>
      <c r="I256" s="221"/>
      <c r="J256" s="221"/>
      <c r="K256" s="221"/>
      <c r="L256" s="221"/>
      <c r="M256" s="221"/>
      <c r="N256" s="221"/>
      <c r="O256" s="221"/>
      <c r="P256" s="221"/>
      <c r="Q256" s="221"/>
      <c r="R256" s="221"/>
      <c r="S256" s="221"/>
      <c r="T256" s="221"/>
      <c r="U256" s="221"/>
      <c r="V256" s="221"/>
      <c r="W256" s="221"/>
      <c r="X256" s="221"/>
    </row>
    <row r="257" spans="5:24" x14ac:dyDescent="0.25">
      <c r="E257" s="221"/>
      <c r="F257" s="221"/>
      <c r="G257" s="221"/>
      <c r="H257" s="221"/>
      <c r="I257" s="221"/>
      <c r="J257" s="221"/>
      <c r="K257" s="221"/>
      <c r="L257" s="221"/>
      <c r="M257" s="221"/>
      <c r="N257" s="221"/>
      <c r="O257" s="221"/>
      <c r="P257" s="221"/>
      <c r="Q257" s="221"/>
      <c r="R257" s="221"/>
      <c r="S257" s="221"/>
      <c r="T257" s="221"/>
      <c r="U257" s="221"/>
      <c r="V257" s="221"/>
      <c r="W257" s="221"/>
      <c r="X257" s="221"/>
    </row>
    <row r="258" spans="5:24" x14ac:dyDescent="0.25">
      <c r="E258" s="221"/>
      <c r="F258" s="221"/>
      <c r="G258" s="221"/>
      <c r="H258" s="221"/>
      <c r="I258" s="221"/>
      <c r="J258" s="221"/>
      <c r="K258" s="221"/>
      <c r="L258" s="221"/>
      <c r="M258" s="221"/>
      <c r="N258" s="221"/>
      <c r="O258" s="221"/>
      <c r="P258" s="221"/>
      <c r="Q258" s="221"/>
      <c r="R258" s="221"/>
      <c r="S258" s="221"/>
      <c r="T258" s="221"/>
      <c r="U258" s="221"/>
      <c r="V258" s="221"/>
      <c r="W258" s="221"/>
      <c r="X258" s="221"/>
    </row>
    <row r="259" spans="5:24" x14ac:dyDescent="0.25">
      <c r="E259" s="221"/>
      <c r="F259" s="221"/>
      <c r="G259" s="221"/>
      <c r="H259" s="221"/>
      <c r="I259" s="221"/>
      <c r="J259" s="221"/>
      <c r="K259" s="221"/>
      <c r="L259" s="221"/>
      <c r="M259" s="221"/>
      <c r="N259" s="221"/>
      <c r="O259" s="221"/>
      <c r="P259" s="221"/>
      <c r="Q259" s="221"/>
      <c r="R259" s="221"/>
      <c r="S259" s="221"/>
      <c r="T259" s="221"/>
      <c r="U259" s="221"/>
      <c r="V259" s="221"/>
      <c r="W259" s="221"/>
      <c r="X259" s="221"/>
    </row>
    <row r="260" spans="5:24" x14ac:dyDescent="0.25">
      <c r="E260" s="221"/>
      <c r="F260" s="221"/>
      <c r="G260" s="221"/>
      <c r="H260" s="221"/>
      <c r="I260" s="221"/>
      <c r="J260" s="221"/>
      <c r="K260" s="221"/>
      <c r="L260" s="221"/>
      <c r="M260" s="221"/>
      <c r="N260" s="221"/>
      <c r="O260" s="221"/>
      <c r="P260" s="221"/>
      <c r="Q260" s="221"/>
      <c r="R260" s="221"/>
      <c r="S260" s="221"/>
      <c r="T260" s="221"/>
      <c r="U260" s="221"/>
      <c r="V260" s="221"/>
      <c r="W260" s="221"/>
      <c r="X260" s="221"/>
    </row>
    <row r="261" spans="5:24" x14ac:dyDescent="0.25">
      <c r="E261" s="221"/>
      <c r="F261" s="221"/>
      <c r="G261" s="221"/>
      <c r="H261" s="221"/>
      <c r="I261" s="221"/>
      <c r="J261" s="221"/>
      <c r="K261" s="221"/>
      <c r="L261" s="221"/>
      <c r="M261" s="221"/>
      <c r="N261" s="221"/>
      <c r="O261" s="221"/>
      <c r="P261" s="221"/>
      <c r="Q261" s="221"/>
      <c r="R261" s="221"/>
      <c r="S261" s="221"/>
      <c r="T261" s="221"/>
      <c r="U261" s="221"/>
      <c r="V261" s="221"/>
      <c r="W261" s="221"/>
      <c r="X261" s="221"/>
    </row>
    <row r="262" spans="5:24" x14ac:dyDescent="0.25">
      <c r="E262" s="221"/>
      <c r="F262" s="221"/>
      <c r="G262" s="221"/>
      <c r="H262" s="221"/>
      <c r="I262" s="221"/>
      <c r="J262" s="221"/>
      <c r="K262" s="221"/>
      <c r="L262" s="221"/>
      <c r="M262" s="221"/>
      <c r="N262" s="221"/>
      <c r="O262" s="221"/>
      <c r="P262" s="221"/>
      <c r="Q262" s="221"/>
      <c r="R262" s="221"/>
      <c r="S262" s="221"/>
      <c r="T262" s="221"/>
      <c r="U262" s="221"/>
      <c r="V262" s="221"/>
      <c r="W262" s="221"/>
      <c r="X262" s="221"/>
    </row>
    <row r="263" spans="5:24" x14ac:dyDescent="0.25">
      <c r="E263" s="221"/>
      <c r="F263" s="221"/>
      <c r="G263" s="221"/>
      <c r="H263" s="221"/>
      <c r="I263" s="221"/>
      <c r="J263" s="221"/>
      <c r="K263" s="221"/>
      <c r="L263" s="221"/>
      <c r="M263" s="221"/>
      <c r="N263" s="221"/>
      <c r="O263" s="221"/>
      <c r="P263" s="221"/>
      <c r="Q263" s="221"/>
      <c r="R263" s="221"/>
      <c r="S263" s="221"/>
      <c r="T263" s="221"/>
      <c r="U263" s="221"/>
      <c r="V263" s="221"/>
      <c r="W263" s="221"/>
      <c r="X263" s="221"/>
    </row>
    <row r="264" spans="5:24" x14ac:dyDescent="0.25">
      <c r="E264" s="221"/>
      <c r="F264" s="221"/>
      <c r="G264" s="221"/>
      <c r="H264" s="221"/>
      <c r="I264" s="221"/>
      <c r="J264" s="221"/>
      <c r="K264" s="221"/>
      <c r="L264" s="221"/>
      <c r="M264" s="221"/>
      <c r="N264" s="221"/>
      <c r="O264" s="221"/>
      <c r="P264" s="221"/>
      <c r="Q264" s="221"/>
      <c r="R264" s="221"/>
      <c r="S264" s="221"/>
      <c r="T264" s="221"/>
      <c r="U264" s="221"/>
      <c r="V264" s="221"/>
      <c r="W264" s="221"/>
      <c r="X264" s="221"/>
    </row>
    <row r="265" spans="5:24" x14ac:dyDescent="0.25">
      <c r="E265" s="221"/>
      <c r="F265" s="221"/>
      <c r="G265" s="221"/>
      <c r="H265" s="221"/>
      <c r="I265" s="221"/>
      <c r="J265" s="221"/>
      <c r="K265" s="221"/>
      <c r="L265" s="221"/>
      <c r="M265" s="221"/>
      <c r="N265" s="221"/>
      <c r="O265" s="221"/>
      <c r="P265" s="221"/>
      <c r="Q265" s="221"/>
      <c r="R265" s="221"/>
      <c r="S265" s="221"/>
      <c r="T265" s="221"/>
      <c r="U265" s="221"/>
      <c r="V265" s="221"/>
      <c r="W265" s="221"/>
      <c r="X265" s="221"/>
    </row>
    <row r="266" spans="5:24" x14ac:dyDescent="0.25">
      <c r="E266" s="221"/>
      <c r="F266" s="221"/>
      <c r="G266" s="221"/>
      <c r="H266" s="221"/>
      <c r="I266" s="221"/>
      <c r="J266" s="221"/>
      <c r="K266" s="221"/>
      <c r="L266" s="221"/>
      <c r="M266" s="221"/>
      <c r="N266" s="221"/>
      <c r="O266" s="221"/>
      <c r="P266" s="221"/>
      <c r="Q266" s="221"/>
      <c r="R266" s="221"/>
      <c r="S266" s="221"/>
      <c r="T266" s="221"/>
      <c r="U266" s="221"/>
      <c r="V266" s="221"/>
      <c r="W266" s="221"/>
      <c r="X266" s="221"/>
    </row>
    <row r="267" spans="5:24" x14ac:dyDescent="0.25">
      <c r="E267" s="221"/>
      <c r="F267" s="221"/>
      <c r="G267" s="221"/>
      <c r="H267" s="221"/>
      <c r="I267" s="221"/>
      <c r="J267" s="221"/>
      <c r="K267" s="221"/>
      <c r="L267" s="221"/>
      <c r="M267" s="221"/>
      <c r="N267" s="221"/>
      <c r="O267" s="221"/>
      <c r="P267" s="221"/>
      <c r="Q267" s="221"/>
      <c r="R267" s="221"/>
      <c r="S267" s="221"/>
      <c r="T267" s="221"/>
      <c r="U267" s="221"/>
      <c r="V267" s="221"/>
      <c r="W267" s="221"/>
      <c r="X267" s="221"/>
    </row>
    <row r="268" spans="5:24" x14ac:dyDescent="0.25">
      <c r="E268" s="221"/>
      <c r="F268" s="221"/>
      <c r="G268" s="221"/>
      <c r="H268" s="221"/>
      <c r="I268" s="221"/>
      <c r="J268" s="221"/>
      <c r="K268" s="221"/>
      <c r="L268" s="221"/>
      <c r="M268" s="221"/>
      <c r="N268" s="221"/>
      <c r="O268" s="221"/>
      <c r="P268" s="221"/>
      <c r="Q268" s="221"/>
      <c r="R268" s="221"/>
      <c r="S268" s="221"/>
      <c r="T268" s="221"/>
      <c r="U268" s="221"/>
      <c r="V268" s="221"/>
      <c r="W268" s="221"/>
      <c r="X268" s="221"/>
    </row>
    <row r="269" spans="5:24" x14ac:dyDescent="0.25">
      <c r="E269" s="221"/>
      <c r="F269" s="221"/>
      <c r="G269" s="221"/>
      <c r="H269" s="221"/>
      <c r="I269" s="221"/>
      <c r="J269" s="221"/>
      <c r="K269" s="221"/>
      <c r="L269" s="221"/>
      <c r="M269" s="221"/>
      <c r="N269" s="221"/>
      <c r="O269" s="221"/>
      <c r="P269" s="221"/>
      <c r="Q269" s="221"/>
      <c r="R269" s="221"/>
      <c r="S269" s="221"/>
      <c r="T269" s="221"/>
      <c r="U269" s="221"/>
      <c r="V269" s="221"/>
      <c r="W269" s="221"/>
      <c r="X269" s="221"/>
    </row>
    <row r="270" spans="5:24" x14ac:dyDescent="0.25">
      <c r="E270" s="221"/>
      <c r="F270" s="221"/>
      <c r="G270" s="221"/>
      <c r="H270" s="221"/>
      <c r="I270" s="221"/>
      <c r="J270" s="221"/>
      <c r="K270" s="221"/>
      <c r="L270" s="221"/>
      <c r="M270" s="221"/>
      <c r="N270" s="221"/>
      <c r="O270" s="221"/>
      <c r="P270" s="221"/>
      <c r="Q270" s="221"/>
      <c r="R270" s="221"/>
      <c r="S270" s="221"/>
      <c r="T270" s="221"/>
      <c r="U270" s="221"/>
      <c r="V270" s="221"/>
      <c r="W270" s="221"/>
      <c r="X270" s="221"/>
    </row>
    <row r="271" spans="5:24" x14ac:dyDescent="0.25">
      <c r="E271" s="221"/>
      <c r="F271" s="221"/>
      <c r="G271" s="221"/>
      <c r="H271" s="221"/>
      <c r="I271" s="221"/>
      <c r="J271" s="221"/>
      <c r="K271" s="221"/>
      <c r="L271" s="221"/>
      <c r="M271" s="221"/>
      <c r="N271" s="221"/>
      <c r="O271" s="221"/>
      <c r="P271" s="221"/>
      <c r="Q271" s="221"/>
      <c r="R271" s="221"/>
      <c r="S271" s="221"/>
      <c r="T271" s="221"/>
      <c r="U271" s="221"/>
      <c r="V271" s="221"/>
      <c r="W271" s="221"/>
      <c r="X271" s="221"/>
    </row>
    <row r="272" spans="5:24" x14ac:dyDescent="0.25">
      <c r="E272" s="221"/>
      <c r="F272" s="221"/>
      <c r="G272" s="221"/>
      <c r="H272" s="221"/>
      <c r="I272" s="221"/>
      <c r="J272" s="221"/>
      <c r="K272" s="221"/>
      <c r="L272" s="221"/>
      <c r="M272" s="221"/>
      <c r="N272" s="221"/>
      <c r="O272" s="221"/>
      <c r="P272" s="221"/>
      <c r="Q272" s="221"/>
      <c r="R272" s="221"/>
      <c r="S272" s="221"/>
      <c r="T272" s="221"/>
      <c r="U272" s="221"/>
      <c r="V272" s="221"/>
      <c r="W272" s="221"/>
      <c r="X272" s="221"/>
    </row>
    <row r="273" spans="5:24" x14ac:dyDescent="0.25">
      <c r="E273" s="221"/>
      <c r="F273" s="221"/>
      <c r="G273" s="221"/>
      <c r="H273" s="221"/>
      <c r="I273" s="221"/>
      <c r="J273" s="221"/>
      <c r="K273" s="221"/>
      <c r="L273" s="221"/>
      <c r="M273" s="221"/>
      <c r="N273" s="221"/>
      <c r="O273" s="221"/>
      <c r="P273" s="221"/>
      <c r="Q273" s="221"/>
      <c r="R273" s="221"/>
      <c r="S273" s="221"/>
      <c r="T273" s="221"/>
      <c r="U273" s="221"/>
      <c r="V273" s="221"/>
      <c r="W273" s="221"/>
      <c r="X273" s="221"/>
    </row>
    <row r="274" spans="5:24" x14ac:dyDescent="0.25">
      <c r="E274" s="221"/>
      <c r="F274" s="221"/>
      <c r="G274" s="221"/>
      <c r="H274" s="221"/>
      <c r="I274" s="221"/>
      <c r="J274" s="221"/>
      <c r="K274" s="221"/>
      <c r="L274" s="221"/>
      <c r="M274" s="221"/>
      <c r="N274" s="221"/>
      <c r="O274" s="221"/>
      <c r="P274" s="221"/>
      <c r="Q274" s="221"/>
      <c r="R274" s="221"/>
      <c r="S274" s="221"/>
      <c r="T274" s="221"/>
      <c r="U274" s="221"/>
      <c r="V274" s="221"/>
      <c r="W274" s="221"/>
      <c r="X274" s="221"/>
    </row>
    <row r="275" spans="5:24" x14ac:dyDescent="0.25">
      <c r="E275" s="221"/>
      <c r="F275" s="221"/>
      <c r="G275" s="221"/>
      <c r="H275" s="221"/>
      <c r="I275" s="221"/>
      <c r="J275" s="221"/>
      <c r="K275" s="221"/>
      <c r="L275" s="221"/>
      <c r="M275" s="221"/>
      <c r="N275" s="221"/>
      <c r="O275" s="221"/>
      <c r="P275" s="221"/>
      <c r="Q275" s="221"/>
      <c r="R275" s="221"/>
      <c r="S275" s="221"/>
      <c r="T275" s="221"/>
      <c r="U275" s="221"/>
      <c r="V275" s="221"/>
      <c r="W275" s="221"/>
      <c r="X275" s="221"/>
    </row>
    <row r="276" spans="5:24" x14ac:dyDescent="0.25">
      <c r="E276" s="221"/>
      <c r="F276" s="221"/>
      <c r="G276" s="221"/>
      <c r="H276" s="221"/>
      <c r="I276" s="221"/>
      <c r="J276" s="221"/>
      <c r="K276" s="221"/>
      <c r="L276" s="221"/>
      <c r="M276" s="221"/>
      <c r="N276" s="221"/>
      <c r="O276" s="221"/>
      <c r="P276" s="221"/>
      <c r="Q276" s="221"/>
      <c r="R276" s="221"/>
      <c r="S276" s="221"/>
      <c r="T276" s="221"/>
      <c r="U276" s="221"/>
      <c r="V276" s="221"/>
      <c r="W276" s="221"/>
      <c r="X276" s="221"/>
    </row>
    <row r="277" spans="5:24" x14ac:dyDescent="0.25">
      <c r="E277" s="221"/>
      <c r="F277" s="221"/>
      <c r="G277" s="221"/>
      <c r="H277" s="221"/>
      <c r="I277" s="221"/>
      <c r="J277" s="221"/>
      <c r="K277" s="221"/>
      <c r="L277" s="221"/>
      <c r="M277" s="221"/>
      <c r="N277" s="221"/>
      <c r="O277" s="221"/>
      <c r="P277" s="221"/>
      <c r="Q277" s="221"/>
      <c r="R277" s="221"/>
      <c r="S277" s="221"/>
      <c r="T277" s="221"/>
      <c r="U277" s="221"/>
      <c r="V277" s="221"/>
      <c r="W277" s="221"/>
      <c r="X277" s="221"/>
    </row>
    <row r="278" spans="5:24" x14ac:dyDescent="0.25">
      <c r="E278" s="221"/>
      <c r="F278" s="221"/>
      <c r="G278" s="221"/>
      <c r="H278" s="221"/>
      <c r="I278" s="221"/>
      <c r="J278" s="221"/>
      <c r="K278" s="221"/>
      <c r="L278" s="221"/>
      <c r="M278" s="221"/>
      <c r="N278" s="221"/>
      <c r="O278" s="221"/>
      <c r="P278" s="221"/>
      <c r="Q278" s="221"/>
      <c r="R278" s="221"/>
      <c r="S278" s="221"/>
      <c r="T278" s="221"/>
      <c r="U278" s="221"/>
      <c r="V278" s="221"/>
      <c r="W278" s="221"/>
      <c r="X278" s="221"/>
    </row>
    <row r="279" spans="5:24" x14ac:dyDescent="0.25">
      <c r="E279" s="221"/>
      <c r="F279" s="221"/>
      <c r="G279" s="221"/>
      <c r="H279" s="221"/>
      <c r="I279" s="221"/>
      <c r="J279" s="221"/>
      <c r="K279" s="221"/>
      <c r="L279" s="221"/>
      <c r="M279" s="221"/>
      <c r="N279" s="221"/>
      <c r="O279" s="221"/>
      <c r="P279" s="221"/>
      <c r="Q279" s="221"/>
      <c r="R279" s="221"/>
      <c r="S279" s="221"/>
      <c r="T279" s="221"/>
      <c r="U279" s="221"/>
      <c r="V279" s="221"/>
      <c r="W279" s="221"/>
      <c r="X279" s="221"/>
    </row>
    <row r="280" spans="5:24" x14ac:dyDescent="0.25">
      <c r="E280" s="221"/>
      <c r="F280" s="221"/>
      <c r="G280" s="221"/>
      <c r="H280" s="221"/>
      <c r="I280" s="221"/>
      <c r="J280" s="221"/>
      <c r="K280" s="221"/>
      <c r="L280" s="221"/>
      <c r="M280" s="221"/>
      <c r="N280" s="221"/>
      <c r="O280" s="221"/>
      <c r="P280" s="221"/>
      <c r="Q280" s="221"/>
      <c r="R280" s="221"/>
      <c r="S280" s="221"/>
      <c r="T280" s="221"/>
      <c r="U280" s="221"/>
      <c r="V280" s="221"/>
      <c r="W280" s="221"/>
      <c r="X280" s="221"/>
    </row>
    <row r="281" spans="5:24" x14ac:dyDescent="0.25">
      <c r="E281" s="221"/>
      <c r="F281" s="221"/>
      <c r="G281" s="221"/>
      <c r="H281" s="221"/>
      <c r="I281" s="221"/>
      <c r="J281" s="221"/>
      <c r="K281" s="221"/>
      <c r="L281" s="221"/>
      <c r="M281" s="221"/>
      <c r="N281" s="221"/>
      <c r="O281" s="221"/>
      <c r="P281" s="221"/>
      <c r="Q281" s="221"/>
      <c r="R281" s="221"/>
      <c r="S281" s="221"/>
      <c r="T281" s="221"/>
      <c r="U281" s="221"/>
      <c r="V281" s="221"/>
      <c r="W281" s="221"/>
      <c r="X281" s="221"/>
    </row>
    <row r="282" spans="5:24" x14ac:dyDescent="0.25">
      <c r="E282" s="221"/>
      <c r="F282" s="221"/>
      <c r="G282" s="221"/>
      <c r="H282" s="221"/>
      <c r="I282" s="221"/>
      <c r="J282" s="221"/>
      <c r="K282" s="221"/>
      <c r="L282" s="221"/>
      <c r="M282" s="221"/>
      <c r="N282" s="221"/>
      <c r="O282" s="221"/>
      <c r="P282" s="221"/>
      <c r="Q282" s="221"/>
      <c r="R282" s="221"/>
      <c r="S282" s="221"/>
      <c r="T282" s="221"/>
      <c r="U282" s="221"/>
      <c r="V282" s="221"/>
      <c r="W282" s="221"/>
      <c r="X282" s="221"/>
    </row>
    <row r="283" spans="5:24" x14ac:dyDescent="0.25">
      <c r="E283" s="221"/>
      <c r="F283" s="221"/>
      <c r="G283" s="221"/>
      <c r="H283" s="221"/>
      <c r="I283" s="221"/>
      <c r="J283" s="221"/>
      <c r="K283" s="221"/>
      <c r="L283" s="221"/>
      <c r="M283" s="221"/>
      <c r="N283" s="221"/>
      <c r="O283" s="221"/>
      <c r="P283" s="221"/>
      <c r="Q283" s="221"/>
      <c r="R283" s="221"/>
      <c r="S283" s="221"/>
      <c r="T283" s="221"/>
      <c r="U283" s="221"/>
      <c r="V283" s="221"/>
      <c r="W283" s="221"/>
      <c r="X283" s="221"/>
    </row>
    <row r="284" spans="5:24" x14ac:dyDescent="0.25">
      <c r="E284" s="221"/>
      <c r="F284" s="221"/>
      <c r="G284" s="221"/>
      <c r="H284" s="221"/>
      <c r="I284" s="221"/>
      <c r="J284" s="221"/>
      <c r="K284" s="221"/>
      <c r="L284" s="221"/>
      <c r="M284" s="221"/>
      <c r="N284" s="221"/>
      <c r="O284" s="221"/>
      <c r="P284" s="221"/>
      <c r="Q284" s="221"/>
      <c r="R284" s="221"/>
      <c r="S284" s="221"/>
      <c r="T284" s="221"/>
      <c r="U284" s="221"/>
      <c r="V284" s="221"/>
      <c r="W284" s="221"/>
      <c r="X284" s="221"/>
    </row>
    <row r="285" spans="5:24" x14ac:dyDescent="0.25">
      <c r="E285" s="221"/>
      <c r="F285" s="221"/>
      <c r="G285" s="221"/>
      <c r="H285" s="221"/>
      <c r="I285" s="221"/>
      <c r="J285" s="221"/>
      <c r="K285" s="221"/>
      <c r="L285" s="221"/>
      <c r="M285" s="221"/>
      <c r="N285" s="221"/>
      <c r="O285" s="221"/>
      <c r="P285" s="221"/>
      <c r="Q285" s="221"/>
      <c r="R285" s="221"/>
      <c r="S285" s="221"/>
      <c r="T285" s="221"/>
      <c r="U285" s="221"/>
      <c r="V285" s="221"/>
      <c r="W285" s="221"/>
      <c r="X285" s="221"/>
    </row>
    <row r="286" spans="5:24" x14ac:dyDescent="0.25">
      <c r="E286" s="221"/>
      <c r="F286" s="221"/>
      <c r="G286" s="221"/>
      <c r="H286" s="221"/>
      <c r="I286" s="221"/>
      <c r="J286" s="221"/>
      <c r="K286" s="221"/>
      <c r="L286" s="221"/>
      <c r="M286" s="221"/>
      <c r="N286" s="221"/>
      <c r="O286" s="221"/>
      <c r="P286" s="221"/>
      <c r="Q286" s="221"/>
      <c r="R286" s="221"/>
      <c r="S286" s="221"/>
      <c r="T286" s="221"/>
      <c r="U286" s="221"/>
      <c r="V286" s="221"/>
      <c r="W286" s="221"/>
      <c r="X286" s="221"/>
    </row>
    <row r="287" spans="5:24" x14ac:dyDescent="0.25">
      <c r="E287" s="221"/>
      <c r="F287" s="221"/>
      <c r="G287" s="221"/>
      <c r="H287" s="221"/>
      <c r="I287" s="221"/>
      <c r="J287" s="221"/>
      <c r="K287" s="221"/>
      <c r="L287" s="221"/>
      <c r="M287" s="221"/>
      <c r="N287" s="221"/>
      <c r="O287" s="221"/>
      <c r="P287" s="221"/>
      <c r="Q287" s="221"/>
      <c r="R287" s="221"/>
      <c r="S287" s="221"/>
      <c r="T287" s="221"/>
      <c r="U287" s="221"/>
      <c r="V287" s="221"/>
      <c r="W287" s="221"/>
      <c r="X287" s="221"/>
    </row>
    <row r="288" spans="5:24" x14ac:dyDescent="0.25">
      <c r="E288" s="221"/>
      <c r="F288" s="221"/>
      <c r="G288" s="221"/>
      <c r="H288" s="221"/>
      <c r="I288" s="221"/>
      <c r="J288" s="221"/>
      <c r="K288" s="221"/>
      <c r="L288" s="221"/>
      <c r="M288" s="221"/>
      <c r="N288" s="221"/>
      <c r="O288" s="221"/>
      <c r="P288" s="221"/>
      <c r="Q288" s="221"/>
      <c r="R288" s="221"/>
      <c r="S288" s="221"/>
      <c r="T288" s="221"/>
      <c r="U288" s="221"/>
      <c r="V288" s="221"/>
      <c r="W288" s="221"/>
      <c r="X288" s="221"/>
    </row>
    <row r="289" spans="5:24" x14ac:dyDescent="0.25">
      <c r="E289" s="221"/>
      <c r="F289" s="221"/>
      <c r="G289" s="221"/>
      <c r="H289" s="221"/>
      <c r="I289" s="221"/>
      <c r="J289" s="221"/>
      <c r="K289" s="221"/>
      <c r="L289" s="221"/>
      <c r="M289" s="221"/>
      <c r="N289" s="221"/>
      <c r="O289" s="221"/>
      <c r="P289" s="221"/>
      <c r="Q289" s="221"/>
      <c r="R289" s="221"/>
      <c r="S289" s="221"/>
      <c r="T289" s="221"/>
      <c r="U289" s="221"/>
      <c r="V289" s="221"/>
      <c r="W289" s="221"/>
      <c r="X289" s="221"/>
    </row>
    <row r="290" spans="5:24" x14ac:dyDescent="0.25">
      <c r="E290" s="221"/>
      <c r="F290" s="221"/>
      <c r="G290" s="221"/>
      <c r="H290" s="221"/>
      <c r="I290" s="221"/>
      <c r="J290" s="221"/>
      <c r="K290" s="221"/>
      <c r="L290" s="221"/>
      <c r="M290" s="221"/>
      <c r="N290" s="221"/>
      <c r="O290" s="221"/>
      <c r="P290" s="221"/>
      <c r="Q290" s="221"/>
      <c r="R290" s="221"/>
      <c r="S290" s="221"/>
      <c r="T290" s="221"/>
      <c r="U290" s="221"/>
      <c r="V290" s="221"/>
      <c r="W290" s="221"/>
      <c r="X290" s="221"/>
    </row>
    <row r="291" spans="5:24" x14ac:dyDescent="0.25">
      <c r="E291" s="221"/>
      <c r="F291" s="221"/>
      <c r="G291" s="221"/>
      <c r="H291" s="221"/>
      <c r="I291" s="221"/>
      <c r="J291" s="221"/>
      <c r="K291" s="221"/>
      <c r="L291" s="221"/>
      <c r="M291" s="221"/>
      <c r="N291" s="221"/>
      <c r="O291" s="221"/>
      <c r="P291" s="221"/>
      <c r="Q291" s="221"/>
      <c r="R291" s="221"/>
      <c r="S291" s="221"/>
      <c r="T291" s="221"/>
      <c r="U291" s="221"/>
      <c r="V291" s="221"/>
      <c r="W291" s="221"/>
      <c r="X291" s="221"/>
    </row>
    <row r="292" spans="5:24" x14ac:dyDescent="0.25">
      <c r="E292" s="221"/>
      <c r="F292" s="221"/>
      <c r="G292" s="221"/>
      <c r="H292" s="221"/>
      <c r="I292" s="221"/>
      <c r="J292" s="221"/>
      <c r="K292" s="221"/>
      <c r="L292" s="221"/>
      <c r="M292" s="221"/>
      <c r="N292" s="221"/>
      <c r="O292" s="221"/>
      <c r="P292" s="221"/>
      <c r="Q292" s="221"/>
      <c r="R292" s="221"/>
      <c r="S292" s="221"/>
      <c r="T292" s="221"/>
      <c r="U292" s="221"/>
      <c r="V292" s="221"/>
      <c r="W292" s="221"/>
      <c r="X292" s="221"/>
    </row>
    <row r="293" spans="5:24" x14ac:dyDescent="0.25">
      <c r="E293" s="221"/>
      <c r="F293" s="221"/>
      <c r="G293" s="221"/>
      <c r="H293" s="221"/>
      <c r="I293" s="221"/>
      <c r="J293" s="221"/>
      <c r="K293" s="221"/>
      <c r="L293" s="221"/>
      <c r="M293" s="221"/>
      <c r="N293" s="221"/>
      <c r="O293" s="221"/>
      <c r="P293" s="221"/>
      <c r="Q293" s="221"/>
      <c r="R293" s="221"/>
      <c r="S293" s="221"/>
      <c r="T293" s="221"/>
      <c r="U293" s="221"/>
      <c r="V293" s="221"/>
      <c r="W293" s="221"/>
      <c r="X293" s="221"/>
    </row>
    <row r="294" spans="5:24" x14ac:dyDescent="0.25">
      <c r="E294" s="221"/>
      <c r="F294" s="221"/>
      <c r="G294" s="221"/>
      <c r="H294" s="221"/>
      <c r="I294" s="221"/>
      <c r="J294" s="221"/>
      <c r="K294" s="221"/>
      <c r="L294" s="221"/>
      <c r="M294" s="221"/>
      <c r="N294" s="221"/>
      <c r="O294" s="221"/>
      <c r="P294" s="221"/>
      <c r="Q294" s="221"/>
      <c r="R294" s="221"/>
      <c r="S294" s="221"/>
      <c r="T294" s="221"/>
      <c r="U294" s="221"/>
      <c r="V294" s="221"/>
      <c r="W294" s="221"/>
      <c r="X294" s="221"/>
    </row>
    <row r="295" spans="5:24" x14ac:dyDescent="0.25">
      <c r="E295" s="221"/>
      <c r="F295" s="221"/>
      <c r="G295" s="221"/>
      <c r="H295" s="221"/>
      <c r="I295" s="221"/>
      <c r="J295" s="221"/>
      <c r="K295" s="221"/>
      <c r="L295" s="221"/>
      <c r="M295" s="221"/>
      <c r="N295" s="221"/>
      <c r="O295" s="221"/>
      <c r="P295" s="221"/>
      <c r="Q295" s="221"/>
      <c r="R295" s="221"/>
      <c r="S295" s="221"/>
      <c r="T295" s="221"/>
      <c r="U295" s="221"/>
      <c r="V295" s="221"/>
      <c r="W295" s="221"/>
      <c r="X295" s="221"/>
    </row>
    <row r="296" spans="5:24" x14ac:dyDescent="0.25">
      <c r="E296" s="221"/>
      <c r="F296" s="221"/>
      <c r="G296" s="221"/>
      <c r="H296" s="221"/>
      <c r="I296" s="221"/>
      <c r="J296" s="221"/>
      <c r="K296" s="221"/>
      <c r="L296" s="221"/>
      <c r="M296" s="221"/>
      <c r="N296" s="221"/>
      <c r="O296" s="221"/>
      <c r="P296" s="221"/>
      <c r="Q296" s="221"/>
      <c r="R296" s="221"/>
      <c r="S296" s="221"/>
      <c r="T296" s="221"/>
      <c r="U296" s="221"/>
      <c r="V296" s="221"/>
      <c r="W296" s="221"/>
      <c r="X296" s="221"/>
    </row>
    <row r="297" spans="5:24" x14ac:dyDescent="0.25">
      <c r="E297" s="221"/>
      <c r="F297" s="221"/>
      <c r="G297" s="221"/>
      <c r="H297" s="221"/>
      <c r="I297" s="221"/>
      <c r="J297" s="221"/>
      <c r="K297" s="221"/>
      <c r="L297" s="221"/>
      <c r="M297" s="221"/>
      <c r="N297" s="221"/>
      <c r="O297" s="221"/>
      <c r="P297" s="221"/>
      <c r="Q297" s="221"/>
      <c r="R297" s="221"/>
      <c r="S297" s="221"/>
      <c r="T297" s="221"/>
      <c r="U297" s="221"/>
      <c r="V297" s="221"/>
      <c r="W297" s="221"/>
      <c r="X297" s="221"/>
    </row>
    <row r="298" spans="5:24" x14ac:dyDescent="0.25">
      <c r="E298" s="221"/>
      <c r="F298" s="221"/>
      <c r="G298" s="221"/>
      <c r="H298" s="221"/>
      <c r="I298" s="221"/>
      <c r="J298" s="221"/>
      <c r="K298" s="221"/>
      <c r="L298" s="221"/>
      <c r="M298" s="221"/>
      <c r="N298" s="221"/>
      <c r="O298" s="221"/>
      <c r="P298" s="221"/>
      <c r="Q298" s="221"/>
      <c r="R298" s="221"/>
      <c r="S298" s="221"/>
      <c r="T298" s="221"/>
      <c r="U298" s="221"/>
      <c r="V298" s="221"/>
      <c r="W298" s="221"/>
      <c r="X298" s="221"/>
    </row>
    <row r="299" spans="5:24" x14ac:dyDescent="0.25">
      <c r="E299" s="221"/>
      <c r="F299" s="221"/>
      <c r="G299" s="221"/>
      <c r="H299" s="221"/>
      <c r="I299" s="221"/>
      <c r="J299" s="221"/>
      <c r="K299" s="221"/>
      <c r="L299" s="221"/>
      <c r="M299" s="221"/>
      <c r="N299" s="221"/>
      <c r="O299" s="221"/>
      <c r="P299" s="221"/>
      <c r="Q299" s="221"/>
      <c r="R299" s="221"/>
      <c r="S299" s="221"/>
      <c r="T299" s="221"/>
      <c r="U299" s="221"/>
      <c r="V299" s="221"/>
      <c r="W299" s="221"/>
      <c r="X299" s="221"/>
    </row>
    <row r="300" spans="5:24" x14ac:dyDescent="0.25">
      <c r="E300" s="221"/>
      <c r="F300" s="221"/>
      <c r="G300" s="221"/>
      <c r="H300" s="221"/>
      <c r="I300" s="221"/>
      <c r="J300" s="221"/>
      <c r="K300" s="221"/>
      <c r="L300" s="221"/>
      <c r="M300" s="221"/>
      <c r="N300" s="221"/>
      <c r="O300" s="221"/>
      <c r="P300" s="221"/>
      <c r="Q300" s="221"/>
      <c r="R300" s="221"/>
      <c r="S300" s="221"/>
      <c r="T300" s="221"/>
      <c r="U300" s="221"/>
      <c r="V300" s="221"/>
      <c r="W300" s="221"/>
      <c r="X300" s="221"/>
    </row>
    <row r="301" spans="5:24" x14ac:dyDescent="0.25">
      <c r="E301" s="221"/>
      <c r="F301" s="221"/>
      <c r="G301" s="221"/>
      <c r="H301" s="221"/>
      <c r="I301" s="221"/>
      <c r="J301" s="221"/>
      <c r="K301" s="221"/>
      <c r="L301" s="221"/>
      <c r="M301" s="221"/>
      <c r="N301" s="221"/>
      <c r="O301" s="221"/>
      <c r="P301" s="221"/>
      <c r="Q301" s="221"/>
      <c r="R301" s="221"/>
      <c r="S301" s="221"/>
      <c r="T301" s="221"/>
      <c r="U301" s="221"/>
      <c r="V301" s="221"/>
      <c r="W301" s="221"/>
      <c r="X301" s="221"/>
    </row>
    <row r="302" spans="5:24" x14ac:dyDescent="0.25">
      <c r="E302" s="221"/>
      <c r="F302" s="221"/>
      <c r="G302" s="221"/>
      <c r="H302" s="221"/>
      <c r="I302" s="221"/>
      <c r="J302" s="221"/>
      <c r="K302" s="221"/>
      <c r="L302" s="221"/>
      <c r="M302" s="221"/>
      <c r="N302" s="221"/>
      <c r="O302" s="221"/>
      <c r="P302" s="221"/>
      <c r="Q302" s="221"/>
      <c r="R302" s="221"/>
      <c r="S302" s="221"/>
      <c r="T302" s="221"/>
      <c r="U302" s="221"/>
      <c r="V302" s="221"/>
      <c r="W302" s="221"/>
      <c r="X302" s="221"/>
    </row>
    <row r="303" spans="5:24" x14ac:dyDescent="0.25">
      <c r="E303" s="221"/>
      <c r="F303" s="221"/>
      <c r="G303" s="221"/>
      <c r="H303" s="221"/>
      <c r="I303" s="221"/>
      <c r="J303" s="221"/>
      <c r="K303" s="221"/>
      <c r="L303" s="221"/>
      <c r="M303" s="221"/>
      <c r="N303" s="221"/>
      <c r="O303" s="221"/>
      <c r="P303" s="221"/>
      <c r="Q303" s="221"/>
      <c r="R303" s="221"/>
      <c r="S303" s="221"/>
      <c r="T303" s="221"/>
      <c r="U303" s="221"/>
      <c r="V303" s="221"/>
      <c r="W303" s="221"/>
      <c r="X303" s="221"/>
    </row>
    <row r="304" spans="5:24" x14ac:dyDescent="0.25">
      <c r="E304" s="221"/>
      <c r="F304" s="221"/>
      <c r="G304" s="221"/>
      <c r="H304" s="221"/>
      <c r="I304" s="221"/>
      <c r="J304" s="221"/>
      <c r="K304" s="221"/>
      <c r="L304" s="221"/>
      <c r="M304" s="221"/>
      <c r="N304" s="221"/>
      <c r="O304" s="221"/>
      <c r="P304" s="221"/>
      <c r="Q304" s="221"/>
      <c r="R304" s="221"/>
      <c r="S304" s="221"/>
      <c r="T304" s="221"/>
      <c r="U304" s="221"/>
      <c r="V304" s="221"/>
      <c r="W304" s="221"/>
      <c r="X304" s="221"/>
    </row>
    <row r="305" spans="5:24" x14ac:dyDescent="0.25">
      <c r="E305" s="221"/>
      <c r="F305" s="221"/>
      <c r="G305" s="221"/>
      <c r="H305" s="221"/>
      <c r="I305" s="221"/>
      <c r="J305" s="221"/>
      <c r="K305" s="221"/>
      <c r="L305" s="221"/>
      <c r="M305" s="221"/>
      <c r="N305" s="221"/>
      <c r="O305" s="221"/>
      <c r="P305" s="221"/>
      <c r="Q305" s="221"/>
      <c r="R305" s="221"/>
      <c r="S305" s="221"/>
      <c r="T305" s="221"/>
      <c r="U305" s="221"/>
      <c r="V305" s="221"/>
      <c r="W305" s="221"/>
      <c r="X305" s="221"/>
    </row>
    <row r="306" spans="5:24" x14ac:dyDescent="0.25">
      <c r="E306" s="221"/>
      <c r="F306" s="221"/>
      <c r="G306" s="221"/>
      <c r="H306" s="221"/>
      <c r="I306" s="221"/>
      <c r="J306" s="221"/>
      <c r="K306" s="221"/>
      <c r="L306" s="221"/>
      <c r="M306" s="221"/>
      <c r="N306" s="221"/>
      <c r="O306" s="221"/>
      <c r="P306" s="221"/>
      <c r="Q306" s="221"/>
      <c r="R306" s="221"/>
      <c r="S306" s="221"/>
      <c r="T306" s="221"/>
      <c r="U306" s="221"/>
      <c r="V306" s="221"/>
      <c r="W306" s="221"/>
      <c r="X306" s="221"/>
    </row>
    <row r="307" spans="5:24" x14ac:dyDescent="0.25">
      <c r="E307" s="221"/>
      <c r="F307" s="221"/>
      <c r="G307" s="221"/>
      <c r="H307" s="221"/>
      <c r="I307" s="221"/>
      <c r="J307" s="221"/>
      <c r="K307" s="221"/>
      <c r="L307" s="221"/>
      <c r="M307" s="221"/>
      <c r="N307" s="221"/>
      <c r="O307" s="221"/>
      <c r="P307" s="221"/>
      <c r="Q307" s="221"/>
      <c r="R307" s="221"/>
      <c r="S307" s="221"/>
      <c r="T307" s="221"/>
      <c r="U307" s="221"/>
      <c r="V307" s="221"/>
      <c r="W307" s="221"/>
      <c r="X307" s="221"/>
    </row>
    <row r="308" spans="5:24" x14ac:dyDescent="0.25">
      <c r="E308" s="221"/>
      <c r="F308" s="221"/>
      <c r="G308" s="221"/>
      <c r="H308" s="221"/>
      <c r="I308" s="221"/>
      <c r="J308" s="221"/>
      <c r="K308" s="221"/>
      <c r="L308" s="221"/>
      <c r="M308" s="221"/>
      <c r="N308" s="221"/>
      <c r="O308" s="221"/>
      <c r="P308" s="221"/>
      <c r="Q308" s="221"/>
      <c r="R308" s="221"/>
      <c r="S308" s="221"/>
      <c r="T308" s="221"/>
      <c r="U308" s="221"/>
      <c r="V308" s="221"/>
      <c r="W308" s="221"/>
      <c r="X308" s="221"/>
    </row>
    <row r="309" spans="5:24" x14ac:dyDescent="0.25">
      <c r="E309" s="221"/>
      <c r="F309" s="221"/>
      <c r="G309" s="221"/>
      <c r="H309" s="221"/>
      <c r="I309" s="221"/>
      <c r="J309" s="221"/>
      <c r="K309" s="221"/>
      <c r="L309" s="221"/>
      <c r="M309" s="221"/>
      <c r="N309" s="221"/>
      <c r="O309" s="221"/>
      <c r="P309" s="221"/>
      <c r="Q309" s="221"/>
      <c r="R309" s="221"/>
      <c r="S309" s="221"/>
      <c r="T309" s="221"/>
      <c r="U309" s="221"/>
      <c r="V309" s="221"/>
      <c r="W309" s="221"/>
      <c r="X309" s="221"/>
    </row>
    <row r="310" spans="5:24" x14ac:dyDescent="0.25">
      <c r="E310" s="221"/>
      <c r="F310" s="221"/>
      <c r="G310" s="221"/>
      <c r="H310" s="221"/>
      <c r="I310" s="221"/>
      <c r="J310" s="221"/>
      <c r="K310" s="221"/>
      <c r="L310" s="221"/>
      <c r="M310" s="221"/>
      <c r="N310" s="221"/>
      <c r="O310" s="221"/>
      <c r="P310" s="221"/>
      <c r="Q310" s="221"/>
      <c r="R310" s="221"/>
      <c r="S310" s="221"/>
      <c r="T310" s="221"/>
      <c r="U310" s="221"/>
      <c r="V310" s="221"/>
      <c r="W310" s="221"/>
      <c r="X310" s="221"/>
    </row>
    <row r="311" spans="5:24" x14ac:dyDescent="0.25">
      <c r="E311" s="221"/>
      <c r="F311" s="221"/>
      <c r="G311" s="221"/>
      <c r="H311" s="221"/>
      <c r="I311" s="221"/>
      <c r="J311" s="221"/>
      <c r="K311" s="221"/>
      <c r="L311" s="221"/>
      <c r="M311" s="221"/>
      <c r="N311" s="221"/>
      <c r="O311" s="221"/>
      <c r="P311" s="221"/>
      <c r="Q311" s="221"/>
      <c r="R311" s="221"/>
      <c r="S311" s="221"/>
      <c r="T311" s="221"/>
      <c r="U311" s="221"/>
      <c r="V311" s="221"/>
      <c r="W311" s="221"/>
      <c r="X311" s="221"/>
    </row>
    <row r="312" spans="5:24" x14ac:dyDescent="0.25">
      <c r="E312" s="221"/>
      <c r="F312" s="221"/>
      <c r="G312" s="221"/>
      <c r="H312" s="221"/>
      <c r="I312" s="221"/>
      <c r="J312" s="221"/>
      <c r="K312" s="221"/>
      <c r="L312" s="221"/>
      <c r="M312" s="221"/>
      <c r="N312" s="221"/>
      <c r="O312" s="221"/>
      <c r="P312" s="221"/>
      <c r="Q312" s="221"/>
      <c r="R312" s="221"/>
      <c r="S312" s="221"/>
      <c r="T312" s="221"/>
      <c r="U312" s="221"/>
      <c r="V312" s="221"/>
      <c r="W312" s="221"/>
      <c r="X312" s="221"/>
    </row>
    <row r="313" spans="5:24" x14ac:dyDescent="0.25">
      <c r="E313" s="221"/>
      <c r="F313" s="221"/>
      <c r="G313" s="221"/>
      <c r="H313" s="221"/>
      <c r="I313" s="221"/>
      <c r="J313" s="221"/>
      <c r="K313" s="221"/>
      <c r="L313" s="221"/>
      <c r="M313" s="221"/>
      <c r="N313" s="221"/>
      <c r="O313" s="221"/>
      <c r="P313" s="221"/>
      <c r="Q313" s="221"/>
      <c r="R313" s="221"/>
      <c r="S313" s="221"/>
      <c r="T313" s="221"/>
      <c r="U313" s="221"/>
      <c r="V313" s="221"/>
      <c r="W313" s="221"/>
      <c r="X313" s="221"/>
    </row>
    <row r="314" spans="5:24" x14ac:dyDescent="0.25">
      <c r="E314" s="221"/>
      <c r="F314" s="221"/>
      <c r="G314" s="221"/>
      <c r="H314" s="221"/>
      <c r="I314" s="221"/>
      <c r="J314" s="221"/>
      <c r="K314" s="221"/>
      <c r="L314" s="221"/>
      <c r="M314" s="221"/>
      <c r="N314" s="221"/>
      <c r="O314" s="221"/>
      <c r="P314" s="221"/>
      <c r="Q314" s="221"/>
      <c r="R314" s="221"/>
      <c r="S314" s="221"/>
      <c r="T314" s="221"/>
      <c r="U314" s="221"/>
      <c r="V314" s="221"/>
      <c r="W314" s="221"/>
      <c r="X314" s="221"/>
    </row>
    <row r="315" spans="5:24" x14ac:dyDescent="0.25">
      <c r="E315" s="221"/>
      <c r="F315" s="221"/>
      <c r="G315" s="221"/>
      <c r="H315" s="221"/>
      <c r="I315" s="221"/>
      <c r="J315" s="221"/>
      <c r="K315" s="221"/>
      <c r="L315" s="221"/>
      <c r="M315" s="221"/>
      <c r="N315" s="221"/>
      <c r="O315" s="221"/>
      <c r="P315" s="221"/>
      <c r="Q315" s="221"/>
      <c r="R315" s="221"/>
      <c r="S315" s="221"/>
      <c r="T315" s="221"/>
      <c r="U315" s="221"/>
      <c r="V315" s="221"/>
      <c r="W315" s="221"/>
      <c r="X315" s="221"/>
    </row>
    <row r="316" spans="5:24" x14ac:dyDescent="0.25">
      <c r="E316" s="221"/>
      <c r="F316" s="221"/>
      <c r="G316" s="221"/>
      <c r="H316" s="221"/>
      <c r="I316" s="221"/>
      <c r="J316" s="221"/>
      <c r="K316" s="221"/>
      <c r="L316" s="221"/>
      <c r="M316" s="221"/>
      <c r="N316" s="221"/>
      <c r="O316" s="221"/>
      <c r="P316" s="221"/>
      <c r="Q316" s="221"/>
      <c r="R316" s="221"/>
      <c r="S316" s="221"/>
      <c r="T316" s="221"/>
      <c r="U316" s="221"/>
      <c r="V316" s="221"/>
      <c r="W316" s="221"/>
      <c r="X316" s="221"/>
    </row>
    <row r="317" spans="5:24" x14ac:dyDescent="0.25">
      <c r="E317" s="221"/>
      <c r="F317" s="221"/>
      <c r="G317" s="221"/>
      <c r="H317" s="221"/>
      <c r="I317" s="221"/>
      <c r="J317" s="221"/>
      <c r="K317" s="221"/>
      <c r="L317" s="221"/>
      <c r="M317" s="221"/>
      <c r="N317" s="221"/>
      <c r="O317" s="221"/>
      <c r="P317" s="221"/>
      <c r="Q317" s="221"/>
      <c r="R317" s="221"/>
      <c r="S317" s="221"/>
      <c r="T317" s="221"/>
      <c r="U317" s="221"/>
      <c r="V317" s="221"/>
      <c r="W317" s="221"/>
      <c r="X317" s="221"/>
    </row>
    <row r="318" spans="5:24" x14ac:dyDescent="0.25">
      <c r="E318" s="221"/>
      <c r="F318" s="221"/>
      <c r="G318" s="221"/>
      <c r="H318" s="221"/>
      <c r="I318" s="221"/>
      <c r="J318" s="221"/>
      <c r="K318" s="221"/>
      <c r="L318" s="221"/>
      <c r="M318" s="221"/>
      <c r="N318" s="221"/>
      <c r="O318" s="221"/>
      <c r="P318" s="221"/>
      <c r="Q318" s="221"/>
      <c r="R318" s="221"/>
      <c r="S318" s="221"/>
      <c r="T318" s="221"/>
      <c r="U318" s="221"/>
      <c r="V318" s="221"/>
      <c r="W318" s="221"/>
      <c r="X318" s="221"/>
    </row>
    <row r="319" spans="5:24" x14ac:dyDescent="0.25">
      <c r="E319" s="221"/>
      <c r="F319" s="221"/>
      <c r="G319" s="221"/>
      <c r="H319" s="221"/>
      <c r="I319" s="221"/>
      <c r="J319" s="221"/>
      <c r="K319" s="221"/>
      <c r="L319" s="221"/>
      <c r="M319" s="221"/>
      <c r="N319" s="221"/>
      <c r="O319" s="221"/>
      <c r="P319" s="221"/>
      <c r="Q319" s="221"/>
      <c r="R319" s="221"/>
      <c r="S319" s="221"/>
      <c r="T319" s="221"/>
      <c r="U319" s="221"/>
      <c r="V319" s="221"/>
      <c r="W319" s="221"/>
      <c r="X319" s="221"/>
    </row>
    <row r="320" spans="5:24" x14ac:dyDescent="0.25">
      <c r="E320" s="221"/>
      <c r="F320" s="221"/>
      <c r="G320" s="221"/>
      <c r="H320" s="221"/>
      <c r="I320" s="221"/>
      <c r="J320" s="221"/>
      <c r="K320" s="221"/>
      <c r="L320" s="221"/>
      <c r="M320" s="221"/>
      <c r="N320" s="221"/>
      <c r="O320" s="221"/>
      <c r="P320" s="221"/>
      <c r="Q320" s="221"/>
      <c r="R320" s="221"/>
      <c r="S320" s="221"/>
      <c r="T320" s="221"/>
      <c r="U320" s="221"/>
      <c r="V320" s="221"/>
      <c r="W320" s="221"/>
      <c r="X320" s="221"/>
    </row>
    <row r="321" spans="5:24" x14ac:dyDescent="0.25">
      <c r="E321" s="221"/>
      <c r="F321" s="221"/>
      <c r="G321" s="221"/>
      <c r="H321" s="221"/>
      <c r="I321" s="221"/>
      <c r="J321" s="221"/>
      <c r="K321" s="221"/>
      <c r="L321" s="221"/>
      <c r="M321" s="221"/>
      <c r="N321" s="221"/>
      <c r="O321" s="221"/>
      <c r="P321" s="221"/>
      <c r="Q321" s="221"/>
      <c r="R321" s="221"/>
      <c r="S321" s="221"/>
      <c r="T321" s="221"/>
      <c r="U321" s="221"/>
      <c r="V321" s="221"/>
      <c r="W321" s="221"/>
      <c r="X321" s="221"/>
    </row>
    <row r="322" spans="5:24" x14ac:dyDescent="0.25">
      <c r="E322" s="221"/>
      <c r="F322" s="221"/>
      <c r="G322" s="221"/>
      <c r="H322" s="221"/>
      <c r="I322" s="221"/>
      <c r="J322" s="221"/>
      <c r="K322" s="221"/>
      <c r="L322" s="221"/>
      <c r="M322" s="221"/>
      <c r="N322" s="221"/>
      <c r="O322" s="221"/>
      <c r="P322" s="221"/>
      <c r="Q322" s="221"/>
      <c r="R322" s="221"/>
      <c r="S322" s="221"/>
      <c r="T322" s="221"/>
      <c r="U322" s="221"/>
      <c r="V322" s="221"/>
      <c r="W322" s="221"/>
      <c r="X322" s="221"/>
    </row>
    <row r="323" spans="5:24" x14ac:dyDescent="0.25">
      <c r="E323" s="221"/>
      <c r="F323" s="221"/>
      <c r="G323" s="221"/>
      <c r="H323" s="221"/>
      <c r="I323" s="221"/>
      <c r="J323" s="221"/>
      <c r="K323" s="221"/>
      <c r="L323" s="221"/>
      <c r="M323" s="221"/>
      <c r="N323" s="221"/>
      <c r="O323" s="221"/>
      <c r="P323" s="221"/>
      <c r="Q323" s="221"/>
      <c r="R323" s="221"/>
      <c r="S323" s="221"/>
      <c r="T323" s="221"/>
      <c r="U323" s="221"/>
      <c r="V323" s="221"/>
      <c r="W323" s="221"/>
      <c r="X323" s="221"/>
    </row>
    <row r="324" spans="5:24" x14ac:dyDescent="0.25">
      <c r="E324" s="221"/>
      <c r="F324" s="221"/>
      <c r="G324" s="221"/>
      <c r="H324" s="221"/>
      <c r="I324" s="221"/>
      <c r="J324" s="221"/>
      <c r="K324" s="221"/>
      <c r="L324" s="221"/>
      <c r="M324" s="221"/>
      <c r="N324" s="221"/>
      <c r="O324" s="221"/>
      <c r="P324" s="221"/>
      <c r="Q324" s="221"/>
      <c r="R324" s="221"/>
      <c r="S324" s="221"/>
      <c r="T324" s="221"/>
      <c r="U324" s="221"/>
      <c r="V324" s="221"/>
      <c r="W324" s="221"/>
      <c r="X324" s="221"/>
    </row>
    <row r="325" spans="5:24" x14ac:dyDescent="0.25">
      <c r="E325" s="221"/>
      <c r="F325" s="221"/>
      <c r="G325" s="221"/>
      <c r="H325" s="221"/>
      <c r="I325" s="221"/>
      <c r="J325" s="221"/>
      <c r="K325" s="221"/>
      <c r="L325" s="221"/>
      <c r="M325" s="221"/>
      <c r="N325" s="221"/>
      <c r="O325" s="221"/>
      <c r="P325" s="221"/>
      <c r="Q325" s="221"/>
      <c r="R325" s="221"/>
      <c r="S325" s="221"/>
      <c r="T325" s="221"/>
      <c r="U325" s="221"/>
      <c r="V325" s="221"/>
      <c r="W325" s="221"/>
      <c r="X325" s="221"/>
    </row>
    <row r="326" spans="5:24" x14ac:dyDescent="0.25">
      <c r="E326" s="221"/>
      <c r="F326" s="221"/>
      <c r="G326" s="221"/>
      <c r="H326" s="221"/>
      <c r="I326" s="221"/>
      <c r="J326" s="221"/>
      <c r="K326" s="221"/>
      <c r="L326" s="221"/>
      <c r="M326" s="221"/>
      <c r="N326" s="221"/>
      <c r="O326" s="221"/>
      <c r="P326" s="221"/>
      <c r="Q326" s="221"/>
      <c r="R326" s="221"/>
      <c r="S326" s="221"/>
      <c r="T326" s="221"/>
      <c r="U326" s="221"/>
      <c r="V326" s="221"/>
      <c r="W326" s="221"/>
      <c r="X326" s="221"/>
    </row>
    <row r="327" spans="5:24" x14ac:dyDescent="0.25">
      <c r="E327" s="221"/>
      <c r="F327" s="221"/>
      <c r="G327" s="221"/>
      <c r="H327" s="221"/>
      <c r="I327" s="221"/>
      <c r="J327" s="221"/>
      <c r="K327" s="221"/>
      <c r="L327" s="221"/>
      <c r="M327" s="221"/>
      <c r="N327" s="221"/>
      <c r="O327" s="221"/>
      <c r="P327" s="221"/>
      <c r="Q327" s="221"/>
      <c r="R327" s="221"/>
      <c r="S327" s="221"/>
      <c r="T327" s="221"/>
      <c r="U327" s="221"/>
      <c r="V327" s="221"/>
      <c r="W327" s="221"/>
      <c r="X327" s="221"/>
    </row>
    <row r="328" spans="5:24" x14ac:dyDescent="0.25">
      <c r="E328" s="221"/>
      <c r="F328" s="221"/>
      <c r="G328" s="221"/>
      <c r="H328" s="221"/>
      <c r="I328" s="221"/>
      <c r="J328" s="221"/>
      <c r="K328" s="221"/>
      <c r="L328" s="221"/>
      <c r="M328" s="221"/>
      <c r="N328" s="221"/>
      <c r="O328" s="221"/>
      <c r="P328" s="221"/>
      <c r="Q328" s="221"/>
      <c r="R328" s="221"/>
      <c r="S328" s="221"/>
      <c r="T328" s="221"/>
      <c r="U328" s="221"/>
      <c r="V328" s="221"/>
      <c r="W328" s="221"/>
      <c r="X328" s="221"/>
    </row>
    <row r="329" spans="5:24" x14ac:dyDescent="0.25">
      <c r="E329" s="221"/>
      <c r="F329" s="221"/>
      <c r="G329" s="221"/>
      <c r="H329" s="221"/>
      <c r="I329" s="221"/>
      <c r="J329" s="221"/>
      <c r="K329" s="221"/>
      <c r="L329" s="221"/>
      <c r="M329" s="221"/>
      <c r="N329" s="221"/>
      <c r="O329" s="221"/>
      <c r="P329" s="221"/>
      <c r="Q329" s="221"/>
      <c r="R329" s="221"/>
      <c r="S329" s="221"/>
      <c r="T329" s="221"/>
      <c r="U329" s="221"/>
      <c r="V329" s="221"/>
      <c r="W329" s="221"/>
      <c r="X329" s="221"/>
    </row>
    <row r="330" spans="5:24" x14ac:dyDescent="0.25">
      <c r="E330" s="221"/>
      <c r="F330" s="221"/>
      <c r="G330" s="221"/>
      <c r="H330" s="221"/>
      <c r="I330" s="221"/>
      <c r="J330" s="221"/>
      <c r="K330" s="221"/>
      <c r="L330" s="221"/>
      <c r="M330" s="221"/>
      <c r="N330" s="221"/>
      <c r="O330" s="221"/>
      <c r="P330" s="221"/>
      <c r="Q330" s="221"/>
      <c r="R330" s="221"/>
      <c r="S330" s="221"/>
      <c r="T330" s="221"/>
      <c r="U330" s="221"/>
      <c r="V330" s="221"/>
      <c r="W330" s="221"/>
      <c r="X330" s="221"/>
    </row>
    <row r="331" spans="5:24" x14ac:dyDescent="0.25">
      <c r="E331" s="221"/>
      <c r="F331" s="221"/>
      <c r="G331" s="221"/>
      <c r="H331" s="221"/>
      <c r="I331" s="221"/>
      <c r="J331" s="221"/>
      <c r="K331" s="221"/>
      <c r="L331" s="221"/>
      <c r="M331" s="221"/>
      <c r="N331" s="221"/>
      <c r="O331" s="221"/>
      <c r="P331" s="221"/>
      <c r="Q331" s="221"/>
      <c r="R331" s="221"/>
      <c r="S331" s="221"/>
      <c r="T331" s="221"/>
      <c r="U331" s="221"/>
      <c r="V331" s="221"/>
      <c r="W331" s="221"/>
      <c r="X331" s="221"/>
    </row>
    <row r="332" spans="5:24" x14ac:dyDescent="0.25">
      <c r="E332" s="221"/>
      <c r="F332" s="221"/>
      <c r="G332" s="221"/>
      <c r="H332" s="221"/>
      <c r="I332" s="221"/>
      <c r="J332" s="221"/>
      <c r="K332" s="221"/>
      <c r="L332" s="221"/>
      <c r="M332" s="221"/>
      <c r="N332" s="221"/>
      <c r="O332" s="221"/>
      <c r="P332" s="221"/>
      <c r="Q332" s="221"/>
      <c r="R332" s="221"/>
      <c r="S332" s="221"/>
      <c r="T332" s="221"/>
      <c r="U332" s="221"/>
      <c r="V332" s="221"/>
      <c r="W332" s="221"/>
      <c r="X332" s="221"/>
    </row>
    <row r="333" spans="5:24" x14ac:dyDescent="0.25">
      <c r="E333" s="221"/>
      <c r="F333" s="221"/>
      <c r="G333" s="221"/>
      <c r="H333" s="221"/>
      <c r="I333" s="221"/>
      <c r="J333" s="221"/>
      <c r="K333" s="221"/>
      <c r="L333" s="221"/>
      <c r="M333" s="221"/>
      <c r="N333" s="221"/>
      <c r="O333" s="221"/>
      <c r="P333" s="221"/>
      <c r="Q333" s="221"/>
      <c r="R333" s="221"/>
      <c r="S333" s="221"/>
      <c r="T333" s="221"/>
      <c r="U333" s="221"/>
      <c r="V333" s="221"/>
      <c r="W333" s="221"/>
      <c r="X333" s="221"/>
    </row>
    <row r="334" spans="5:24" x14ac:dyDescent="0.25">
      <c r="E334" s="221"/>
      <c r="F334" s="221"/>
      <c r="G334" s="221"/>
      <c r="H334" s="221"/>
      <c r="I334" s="221"/>
      <c r="J334" s="221"/>
      <c r="K334" s="221"/>
      <c r="L334" s="221"/>
      <c r="M334" s="221"/>
      <c r="N334" s="221"/>
      <c r="O334" s="221"/>
      <c r="P334" s="221"/>
      <c r="Q334" s="221"/>
      <c r="R334" s="221"/>
      <c r="S334" s="221"/>
      <c r="T334" s="221"/>
      <c r="U334" s="221"/>
      <c r="V334" s="221"/>
      <c r="W334" s="221"/>
      <c r="X334" s="221"/>
    </row>
    <row r="335" spans="5:24" x14ac:dyDescent="0.25">
      <c r="E335" s="221"/>
      <c r="F335" s="221"/>
      <c r="G335" s="221"/>
      <c r="H335" s="221"/>
      <c r="I335" s="221"/>
      <c r="J335" s="221"/>
      <c r="K335" s="221"/>
      <c r="L335" s="221"/>
      <c r="M335" s="221"/>
      <c r="N335" s="221"/>
      <c r="O335" s="221"/>
      <c r="P335" s="221"/>
      <c r="Q335" s="221"/>
      <c r="R335" s="221"/>
      <c r="S335" s="221"/>
      <c r="T335" s="221"/>
      <c r="U335" s="221"/>
      <c r="V335" s="221"/>
      <c r="W335" s="221"/>
      <c r="X335" s="221"/>
    </row>
    <row r="336" spans="5:24" x14ac:dyDescent="0.25">
      <c r="E336" s="221"/>
      <c r="F336" s="221"/>
      <c r="G336" s="221"/>
      <c r="H336" s="221"/>
      <c r="I336" s="221"/>
      <c r="J336" s="221"/>
      <c r="K336" s="221"/>
      <c r="L336" s="221"/>
      <c r="M336" s="221"/>
      <c r="N336" s="221"/>
      <c r="O336" s="221"/>
      <c r="P336" s="221"/>
      <c r="Q336" s="221"/>
      <c r="R336" s="221"/>
      <c r="S336" s="221"/>
      <c r="T336" s="221"/>
      <c r="U336" s="221"/>
      <c r="V336" s="221"/>
      <c r="W336" s="221"/>
      <c r="X336" s="221"/>
    </row>
    <row r="337" spans="5:24" x14ac:dyDescent="0.25">
      <c r="E337" s="221"/>
      <c r="F337" s="221"/>
      <c r="G337" s="221"/>
      <c r="H337" s="221"/>
      <c r="I337" s="221"/>
      <c r="J337" s="221"/>
      <c r="K337" s="221"/>
      <c r="L337" s="221"/>
      <c r="M337" s="221"/>
      <c r="N337" s="221"/>
      <c r="O337" s="221"/>
      <c r="P337" s="221"/>
      <c r="Q337" s="221"/>
      <c r="R337" s="221"/>
      <c r="S337" s="221"/>
      <c r="T337" s="221"/>
      <c r="U337" s="221"/>
      <c r="V337" s="221"/>
      <c r="W337" s="221"/>
      <c r="X337" s="221"/>
    </row>
    <row r="338" spans="5:24" x14ac:dyDescent="0.25">
      <c r="E338" s="221"/>
      <c r="F338" s="221"/>
      <c r="G338" s="221"/>
      <c r="H338" s="221"/>
      <c r="I338" s="221"/>
      <c r="J338" s="221"/>
      <c r="K338" s="221"/>
      <c r="L338" s="221"/>
      <c r="M338" s="221"/>
      <c r="N338" s="221"/>
      <c r="O338" s="221"/>
      <c r="P338" s="221"/>
      <c r="Q338" s="221"/>
      <c r="R338" s="221"/>
      <c r="S338" s="221"/>
      <c r="T338" s="221"/>
      <c r="U338" s="221"/>
      <c r="V338" s="221"/>
      <c r="W338" s="221"/>
      <c r="X338" s="221"/>
    </row>
    <row r="339" spans="5:24" x14ac:dyDescent="0.25">
      <c r="E339" s="221"/>
      <c r="F339" s="221"/>
      <c r="G339" s="221"/>
      <c r="H339" s="221"/>
      <c r="I339" s="221"/>
      <c r="J339" s="221"/>
      <c r="K339" s="221"/>
      <c r="L339" s="221"/>
      <c r="M339" s="221"/>
      <c r="N339" s="221"/>
      <c r="O339" s="221"/>
      <c r="P339" s="221"/>
      <c r="Q339" s="221"/>
      <c r="R339" s="221"/>
      <c r="S339" s="221"/>
      <c r="T339" s="221"/>
      <c r="U339" s="221"/>
      <c r="V339" s="221"/>
      <c r="W339" s="221"/>
      <c r="X339" s="221"/>
    </row>
    <row r="340" spans="5:24" x14ac:dyDescent="0.25">
      <c r="E340" s="221"/>
      <c r="F340" s="221"/>
      <c r="G340" s="221"/>
      <c r="H340" s="221"/>
      <c r="I340" s="221"/>
      <c r="J340" s="221"/>
      <c r="K340" s="221"/>
      <c r="L340" s="221"/>
      <c r="M340" s="221"/>
      <c r="N340" s="221"/>
      <c r="O340" s="221"/>
      <c r="P340" s="221"/>
      <c r="Q340" s="221"/>
      <c r="R340" s="221"/>
      <c r="S340" s="221"/>
      <c r="T340" s="221"/>
      <c r="U340" s="221"/>
      <c r="V340" s="221"/>
      <c r="W340" s="221"/>
      <c r="X340" s="221"/>
    </row>
    <row r="341" spans="5:24" x14ac:dyDescent="0.25">
      <c r="E341" s="221"/>
      <c r="F341" s="221"/>
      <c r="G341" s="221"/>
      <c r="H341" s="221"/>
      <c r="I341" s="221"/>
      <c r="J341" s="221"/>
      <c r="K341" s="221"/>
      <c r="L341" s="221"/>
      <c r="M341" s="221"/>
      <c r="N341" s="221"/>
      <c r="O341" s="221"/>
      <c r="P341" s="221"/>
      <c r="Q341" s="221"/>
      <c r="R341" s="221"/>
      <c r="S341" s="221"/>
      <c r="T341" s="221"/>
      <c r="U341" s="221"/>
      <c r="V341" s="221"/>
      <c r="W341" s="221"/>
      <c r="X341" s="221"/>
    </row>
    <row r="342" spans="5:24" x14ac:dyDescent="0.25">
      <c r="E342" s="221"/>
      <c r="F342" s="221"/>
      <c r="G342" s="221"/>
      <c r="H342" s="221"/>
      <c r="I342" s="221"/>
      <c r="J342" s="221"/>
      <c r="K342" s="221"/>
      <c r="L342" s="221"/>
      <c r="M342" s="221"/>
      <c r="N342" s="221"/>
      <c r="O342" s="221"/>
      <c r="P342" s="221"/>
      <c r="Q342" s="221"/>
      <c r="R342" s="221"/>
      <c r="S342" s="221"/>
      <c r="T342" s="221"/>
      <c r="U342" s="221"/>
      <c r="V342" s="221"/>
      <c r="W342" s="221"/>
      <c r="X342" s="221"/>
    </row>
    <row r="343" spans="5:24" x14ac:dyDescent="0.25">
      <c r="E343" s="221"/>
      <c r="F343" s="221"/>
      <c r="G343" s="221"/>
      <c r="H343" s="221"/>
      <c r="I343" s="221"/>
      <c r="J343" s="221"/>
      <c r="K343" s="221"/>
      <c r="L343" s="221"/>
      <c r="M343" s="221"/>
      <c r="N343" s="221"/>
      <c r="O343" s="221"/>
      <c r="P343" s="221"/>
      <c r="Q343" s="221"/>
      <c r="R343" s="221"/>
      <c r="S343" s="221"/>
      <c r="T343" s="221"/>
      <c r="U343" s="221"/>
      <c r="V343" s="221"/>
      <c r="W343" s="221"/>
      <c r="X343" s="221"/>
    </row>
    <row r="344" spans="5:24" x14ac:dyDescent="0.25">
      <c r="E344" s="221"/>
      <c r="F344" s="221"/>
      <c r="G344" s="221"/>
      <c r="H344" s="221"/>
      <c r="I344" s="221"/>
      <c r="J344" s="221"/>
      <c r="K344" s="221"/>
      <c r="L344" s="221"/>
      <c r="M344" s="221"/>
      <c r="N344" s="221"/>
      <c r="O344" s="221"/>
      <c r="P344" s="221"/>
      <c r="Q344" s="221"/>
      <c r="R344" s="221"/>
      <c r="S344" s="221"/>
      <c r="T344" s="221"/>
      <c r="U344" s="221"/>
      <c r="V344" s="221"/>
      <c r="W344" s="221"/>
      <c r="X344" s="221"/>
    </row>
    <row r="345" spans="5:24" x14ac:dyDescent="0.25">
      <c r="E345" s="221"/>
      <c r="F345" s="221"/>
      <c r="G345" s="221"/>
      <c r="H345" s="221"/>
      <c r="I345" s="221"/>
      <c r="J345" s="221"/>
      <c r="K345" s="221"/>
      <c r="L345" s="221"/>
      <c r="M345" s="221"/>
      <c r="N345" s="221"/>
      <c r="O345" s="221"/>
      <c r="P345" s="221"/>
      <c r="Q345" s="221"/>
      <c r="R345" s="221"/>
      <c r="S345" s="221"/>
      <c r="T345" s="221"/>
      <c r="U345" s="221"/>
      <c r="V345" s="221"/>
      <c r="W345" s="221"/>
      <c r="X345" s="221"/>
    </row>
    <row r="346" spans="5:24" x14ac:dyDescent="0.25">
      <c r="E346" s="221"/>
      <c r="F346" s="221"/>
      <c r="G346" s="221"/>
      <c r="H346" s="221"/>
      <c r="I346" s="221"/>
      <c r="J346" s="221"/>
      <c r="K346" s="221"/>
      <c r="L346" s="221"/>
      <c r="M346" s="221"/>
      <c r="N346" s="221"/>
      <c r="O346" s="221"/>
      <c r="P346" s="221"/>
      <c r="Q346" s="221"/>
      <c r="R346" s="221"/>
      <c r="S346" s="221"/>
      <c r="T346" s="221"/>
      <c r="U346" s="221"/>
      <c r="V346" s="221"/>
      <c r="W346" s="221"/>
      <c r="X346" s="221"/>
    </row>
    <row r="347" spans="5:24" x14ac:dyDescent="0.25">
      <c r="E347" s="221"/>
      <c r="F347" s="221"/>
      <c r="G347" s="221"/>
      <c r="H347" s="221"/>
      <c r="I347" s="221"/>
      <c r="J347" s="221"/>
      <c r="K347" s="221"/>
      <c r="L347" s="221"/>
      <c r="M347" s="221"/>
      <c r="N347" s="221"/>
      <c r="O347" s="221"/>
      <c r="P347" s="221"/>
      <c r="Q347" s="221"/>
      <c r="R347" s="221"/>
      <c r="S347" s="221"/>
      <c r="T347" s="221"/>
      <c r="U347" s="221"/>
      <c r="V347" s="221"/>
      <c r="W347" s="221"/>
      <c r="X347" s="221"/>
    </row>
    <row r="348" spans="5:24" x14ac:dyDescent="0.25">
      <c r="E348" s="221"/>
      <c r="F348" s="221"/>
      <c r="G348" s="221"/>
      <c r="H348" s="221"/>
      <c r="I348" s="221"/>
      <c r="J348" s="221"/>
      <c r="K348" s="221"/>
      <c r="L348" s="221"/>
      <c r="M348" s="221"/>
      <c r="N348" s="221"/>
      <c r="O348" s="221"/>
      <c r="P348" s="221"/>
      <c r="Q348" s="221"/>
      <c r="R348" s="221"/>
      <c r="S348" s="221"/>
      <c r="T348" s="221"/>
      <c r="U348" s="221"/>
      <c r="V348" s="221"/>
      <c r="W348" s="221"/>
      <c r="X348" s="221"/>
    </row>
    <row r="349" spans="5:24" x14ac:dyDescent="0.25">
      <c r="E349" s="221"/>
      <c r="F349" s="221"/>
      <c r="G349" s="221"/>
      <c r="H349" s="221"/>
      <c r="I349" s="221"/>
      <c r="J349" s="221"/>
      <c r="K349" s="221"/>
      <c r="L349" s="221"/>
      <c r="M349" s="221"/>
      <c r="N349" s="221"/>
      <c r="O349" s="221"/>
      <c r="P349" s="221"/>
      <c r="Q349" s="221"/>
      <c r="R349" s="221"/>
      <c r="S349" s="221"/>
      <c r="T349" s="221"/>
      <c r="U349" s="221"/>
      <c r="V349" s="221"/>
      <c r="W349" s="221"/>
      <c r="X349" s="221"/>
    </row>
    <row r="350" spans="5:24" x14ac:dyDescent="0.25">
      <c r="E350" s="221"/>
      <c r="F350" s="221"/>
      <c r="G350" s="221"/>
      <c r="H350" s="221"/>
      <c r="I350" s="221"/>
      <c r="J350" s="221"/>
      <c r="K350" s="221"/>
      <c r="L350" s="221"/>
      <c r="M350" s="221"/>
      <c r="N350" s="221"/>
      <c r="O350" s="221"/>
      <c r="P350" s="221"/>
      <c r="Q350" s="221"/>
      <c r="R350" s="221"/>
      <c r="S350" s="221"/>
      <c r="T350" s="221"/>
      <c r="U350" s="221"/>
      <c r="V350" s="221"/>
      <c r="W350" s="221"/>
      <c r="X350" s="221"/>
    </row>
    <row r="351" spans="5:24" x14ac:dyDescent="0.25">
      <c r="E351" s="221"/>
      <c r="F351" s="221"/>
      <c r="G351" s="221"/>
      <c r="H351" s="221"/>
      <c r="I351" s="221"/>
      <c r="J351" s="221"/>
      <c r="K351" s="221"/>
      <c r="L351" s="221"/>
      <c r="M351" s="221"/>
      <c r="N351" s="221"/>
      <c r="O351" s="221"/>
      <c r="P351" s="221"/>
      <c r="Q351" s="221"/>
      <c r="R351" s="221"/>
      <c r="S351" s="221"/>
      <c r="T351" s="221"/>
      <c r="U351" s="221"/>
      <c r="V351" s="221"/>
      <c r="W351" s="221"/>
      <c r="X351" s="221"/>
    </row>
    <row r="352" spans="5:24" x14ac:dyDescent="0.25">
      <c r="E352" s="221"/>
      <c r="F352" s="221"/>
      <c r="G352" s="221"/>
      <c r="H352" s="221"/>
      <c r="I352" s="221"/>
      <c r="J352" s="221"/>
      <c r="K352" s="221"/>
      <c r="L352" s="221"/>
      <c r="M352" s="221"/>
      <c r="N352" s="221"/>
      <c r="O352" s="221"/>
      <c r="P352" s="221"/>
      <c r="Q352" s="221"/>
      <c r="R352" s="221"/>
      <c r="S352" s="221"/>
      <c r="T352" s="221"/>
      <c r="U352" s="221"/>
      <c r="V352" s="221"/>
      <c r="W352" s="221"/>
      <c r="X352" s="221"/>
    </row>
    <row r="353" spans="5:24" x14ac:dyDescent="0.25">
      <c r="E353" s="221"/>
      <c r="F353" s="221"/>
      <c r="G353" s="221"/>
      <c r="H353" s="221"/>
      <c r="I353" s="221"/>
      <c r="J353" s="221"/>
      <c r="K353" s="221"/>
      <c r="L353" s="221"/>
      <c r="M353" s="221"/>
      <c r="N353" s="221"/>
      <c r="O353" s="221"/>
      <c r="P353" s="221"/>
      <c r="Q353" s="221"/>
      <c r="R353" s="221"/>
      <c r="S353" s="221"/>
      <c r="T353" s="221"/>
      <c r="U353" s="221"/>
      <c r="V353" s="221"/>
      <c r="W353" s="221"/>
      <c r="X353" s="221"/>
    </row>
    <row r="354" spans="5:24" x14ac:dyDescent="0.25">
      <c r="E354" s="221"/>
      <c r="F354" s="221"/>
      <c r="G354" s="221"/>
      <c r="H354" s="221"/>
      <c r="I354" s="221"/>
      <c r="J354" s="221"/>
      <c r="K354" s="221"/>
      <c r="L354" s="221"/>
      <c r="M354" s="221"/>
      <c r="N354" s="221"/>
      <c r="O354" s="221"/>
      <c r="P354" s="221"/>
      <c r="Q354" s="221"/>
      <c r="R354" s="221"/>
      <c r="S354" s="221"/>
      <c r="T354" s="221"/>
      <c r="U354" s="221"/>
      <c r="V354" s="221"/>
      <c r="W354" s="221"/>
      <c r="X354" s="221"/>
    </row>
    <row r="355" spans="5:24" x14ac:dyDescent="0.25">
      <c r="E355" s="221"/>
      <c r="F355" s="221"/>
      <c r="G355" s="221"/>
      <c r="H355" s="221"/>
      <c r="I355" s="221"/>
      <c r="J355" s="221"/>
      <c r="K355" s="221"/>
      <c r="L355" s="221"/>
      <c r="M355" s="221"/>
      <c r="N355" s="221"/>
      <c r="O355" s="221"/>
      <c r="P355" s="221"/>
      <c r="Q355" s="221"/>
      <c r="R355" s="221"/>
      <c r="S355" s="221"/>
      <c r="T355" s="221"/>
      <c r="U355" s="221"/>
      <c r="V355" s="221"/>
      <c r="W355" s="221"/>
      <c r="X355" s="221"/>
    </row>
    <row r="356" spans="5:24" x14ac:dyDescent="0.25">
      <c r="E356" s="221"/>
      <c r="F356" s="221"/>
      <c r="G356" s="221"/>
      <c r="H356" s="221"/>
      <c r="I356" s="221"/>
      <c r="J356" s="221"/>
      <c r="K356" s="221"/>
      <c r="L356" s="221"/>
      <c r="M356" s="221"/>
      <c r="N356" s="221"/>
      <c r="O356" s="221"/>
      <c r="P356" s="221"/>
      <c r="Q356" s="221"/>
      <c r="R356" s="221"/>
      <c r="S356" s="221"/>
      <c r="T356" s="221"/>
      <c r="U356" s="221"/>
      <c r="V356" s="221"/>
      <c r="W356" s="221"/>
      <c r="X356" s="221"/>
    </row>
    <row r="357" spans="5:24" x14ac:dyDescent="0.25">
      <c r="E357" s="221"/>
      <c r="F357" s="221"/>
      <c r="G357" s="221"/>
      <c r="H357" s="221"/>
      <c r="I357" s="221"/>
      <c r="J357" s="221"/>
      <c r="K357" s="221"/>
      <c r="L357" s="221"/>
      <c r="M357" s="221"/>
      <c r="N357" s="221"/>
      <c r="O357" s="221"/>
      <c r="P357" s="221"/>
      <c r="Q357" s="221"/>
      <c r="R357" s="221"/>
      <c r="S357" s="221"/>
      <c r="T357" s="221"/>
      <c r="U357" s="221"/>
      <c r="V357" s="221"/>
      <c r="W357" s="221"/>
      <c r="X357" s="221"/>
    </row>
    <row r="358" spans="5:24" x14ac:dyDescent="0.25">
      <c r="E358" s="221"/>
      <c r="F358" s="221"/>
      <c r="G358" s="221"/>
      <c r="H358" s="221"/>
      <c r="I358" s="221"/>
      <c r="J358" s="221"/>
      <c r="K358" s="221"/>
      <c r="L358" s="221"/>
      <c r="M358" s="221"/>
      <c r="N358" s="221"/>
      <c r="O358" s="221"/>
      <c r="P358" s="221"/>
      <c r="Q358" s="221"/>
      <c r="R358" s="221"/>
      <c r="S358" s="221"/>
      <c r="T358" s="221"/>
      <c r="U358" s="221"/>
      <c r="V358" s="221"/>
      <c r="W358" s="221"/>
      <c r="X358" s="221"/>
    </row>
    <row r="359" spans="5:24" x14ac:dyDescent="0.25">
      <c r="E359" s="221"/>
      <c r="F359" s="221"/>
      <c r="G359" s="221"/>
      <c r="H359" s="221"/>
      <c r="I359" s="221"/>
      <c r="J359" s="221"/>
      <c r="K359" s="221"/>
      <c r="L359" s="221"/>
      <c r="M359" s="221"/>
      <c r="N359" s="221"/>
      <c r="O359" s="221"/>
      <c r="P359" s="221"/>
      <c r="Q359" s="221"/>
      <c r="R359" s="221"/>
      <c r="S359" s="221"/>
      <c r="T359" s="221"/>
      <c r="U359" s="221"/>
      <c r="V359" s="221"/>
      <c r="W359" s="221"/>
      <c r="X359" s="221"/>
    </row>
    <row r="360" spans="5:24" x14ac:dyDescent="0.25">
      <c r="E360" s="221"/>
      <c r="F360" s="221"/>
      <c r="G360" s="221"/>
      <c r="H360" s="221"/>
      <c r="I360" s="221"/>
      <c r="J360" s="221"/>
      <c r="K360" s="221"/>
      <c r="L360" s="221"/>
      <c r="M360" s="221"/>
      <c r="N360" s="221"/>
      <c r="O360" s="221"/>
      <c r="P360" s="221"/>
      <c r="Q360" s="221"/>
      <c r="R360" s="221"/>
      <c r="S360" s="221"/>
      <c r="T360" s="221"/>
      <c r="U360" s="221"/>
      <c r="V360" s="221"/>
      <c r="W360" s="221"/>
      <c r="X360" s="221"/>
    </row>
    <row r="361" spans="5:24" x14ac:dyDescent="0.25">
      <c r="E361" s="221"/>
      <c r="F361" s="221"/>
      <c r="G361" s="221"/>
      <c r="H361" s="221"/>
      <c r="I361" s="221"/>
      <c r="J361" s="221"/>
      <c r="K361" s="221"/>
      <c r="L361" s="221"/>
      <c r="M361" s="221"/>
      <c r="N361" s="221"/>
      <c r="O361" s="221"/>
      <c r="P361" s="221"/>
      <c r="Q361" s="221"/>
      <c r="R361" s="221"/>
      <c r="S361" s="221"/>
      <c r="T361" s="221"/>
      <c r="U361" s="221"/>
      <c r="V361" s="221"/>
      <c r="W361" s="221"/>
      <c r="X361" s="221"/>
    </row>
    <row r="362" spans="5:24" x14ac:dyDescent="0.25">
      <c r="E362" s="221"/>
      <c r="F362" s="221"/>
      <c r="G362" s="221"/>
      <c r="H362" s="221"/>
      <c r="I362" s="221"/>
      <c r="J362" s="221"/>
      <c r="K362" s="221"/>
      <c r="L362" s="221"/>
      <c r="M362" s="221"/>
      <c r="N362" s="221"/>
      <c r="O362" s="221"/>
      <c r="P362" s="221"/>
      <c r="Q362" s="221"/>
      <c r="R362" s="221"/>
      <c r="S362" s="221"/>
      <c r="T362" s="221"/>
      <c r="U362" s="221"/>
      <c r="V362" s="221"/>
      <c r="W362" s="221"/>
      <c r="X362" s="221"/>
    </row>
    <row r="363" spans="5:24" x14ac:dyDescent="0.25">
      <c r="E363" s="221"/>
      <c r="F363" s="221"/>
      <c r="G363" s="221"/>
      <c r="H363" s="221"/>
      <c r="I363" s="221"/>
      <c r="J363" s="221"/>
      <c r="K363" s="221"/>
      <c r="L363" s="221"/>
      <c r="M363" s="221"/>
      <c r="N363" s="221"/>
      <c r="O363" s="221"/>
      <c r="P363" s="221"/>
      <c r="Q363" s="221"/>
      <c r="R363" s="221"/>
      <c r="S363" s="221"/>
      <c r="T363" s="221"/>
      <c r="U363" s="221"/>
      <c r="V363" s="221"/>
      <c r="W363" s="221"/>
      <c r="X363" s="221"/>
    </row>
    <row r="364" spans="5:24" x14ac:dyDescent="0.25">
      <c r="E364" s="221"/>
      <c r="F364" s="221"/>
      <c r="G364" s="221"/>
      <c r="H364" s="221"/>
      <c r="I364" s="221"/>
      <c r="J364" s="221"/>
      <c r="K364" s="221"/>
      <c r="L364" s="221"/>
      <c r="M364" s="221"/>
      <c r="N364" s="221"/>
      <c r="O364" s="221"/>
      <c r="P364" s="221"/>
      <c r="Q364" s="221"/>
      <c r="R364" s="221"/>
      <c r="S364" s="221"/>
      <c r="T364" s="221"/>
      <c r="U364" s="221"/>
      <c r="V364" s="221"/>
      <c r="W364" s="221"/>
      <c r="X364" s="221"/>
    </row>
    <row r="365" spans="5:24" x14ac:dyDescent="0.25">
      <c r="E365" s="221"/>
      <c r="F365" s="221"/>
      <c r="G365" s="221"/>
      <c r="H365" s="221"/>
      <c r="I365" s="221"/>
      <c r="J365" s="221"/>
      <c r="K365" s="221"/>
      <c r="L365" s="221"/>
      <c r="M365" s="221"/>
      <c r="N365" s="221"/>
      <c r="O365" s="221"/>
      <c r="P365" s="221"/>
      <c r="Q365" s="221"/>
      <c r="R365" s="221"/>
      <c r="S365" s="221"/>
      <c r="T365" s="221"/>
      <c r="U365" s="221"/>
      <c r="V365" s="221"/>
      <c r="W365" s="221"/>
      <c r="X365" s="221"/>
    </row>
    <row r="366" spans="5:24" x14ac:dyDescent="0.25">
      <c r="E366" s="221"/>
      <c r="F366" s="221"/>
      <c r="G366" s="221"/>
      <c r="H366" s="221"/>
      <c r="I366" s="221"/>
      <c r="J366" s="221"/>
      <c r="K366" s="221"/>
      <c r="L366" s="221"/>
      <c r="M366" s="221"/>
      <c r="N366" s="221"/>
      <c r="O366" s="221"/>
      <c r="P366" s="221"/>
      <c r="Q366" s="221"/>
      <c r="R366" s="221"/>
      <c r="S366" s="221"/>
      <c r="T366" s="221"/>
      <c r="U366" s="221"/>
      <c r="V366" s="221"/>
      <c r="W366" s="221"/>
      <c r="X366" s="221"/>
    </row>
    <row r="367" spans="5:24" x14ac:dyDescent="0.25">
      <c r="E367" s="221"/>
      <c r="F367" s="221"/>
      <c r="G367" s="221"/>
      <c r="H367" s="221"/>
      <c r="I367" s="221"/>
      <c r="J367" s="221"/>
      <c r="K367" s="221"/>
      <c r="L367" s="221"/>
      <c r="M367" s="221"/>
      <c r="N367" s="221"/>
      <c r="O367" s="221"/>
      <c r="P367" s="221"/>
      <c r="Q367" s="221"/>
      <c r="R367" s="221"/>
      <c r="S367" s="221"/>
      <c r="T367" s="221"/>
      <c r="U367" s="221"/>
      <c r="V367" s="221"/>
      <c r="W367" s="221"/>
      <c r="X367" s="221"/>
    </row>
    <row r="368" spans="5:24" x14ac:dyDescent="0.25">
      <c r="E368" s="221"/>
      <c r="F368" s="221"/>
      <c r="G368" s="221"/>
      <c r="H368" s="221"/>
      <c r="I368" s="221"/>
      <c r="J368" s="221"/>
      <c r="K368" s="221"/>
      <c r="L368" s="221"/>
      <c r="M368" s="221"/>
      <c r="N368" s="221"/>
      <c r="O368" s="221"/>
      <c r="P368" s="221"/>
      <c r="Q368" s="221"/>
      <c r="R368" s="221"/>
      <c r="S368" s="221"/>
      <c r="T368" s="221"/>
      <c r="U368" s="221"/>
      <c r="V368" s="221"/>
      <c r="W368" s="221"/>
      <c r="X368" s="221"/>
    </row>
    <row r="369" spans="5:24" x14ac:dyDescent="0.25">
      <c r="E369" s="221"/>
      <c r="F369" s="221"/>
      <c r="G369" s="221"/>
      <c r="H369" s="221"/>
      <c r="I369" s="221"/>
      <c r="J369" s="221"/>
      <c r="K369" s="221"/>
      <c r="L369" s="221"/>
      <c r="M369" s="221"/>
      <c r="N369" s="221"/>
      <c r="O369" s="221"/>
      <c r="P369" s="221"/>
      <c r="Q369" s="221"/>
      <c r="R369" s="221"/>
      <c r="S369" s="221"/>
      <c r="T369" s="221"/>
      <c r="U369" s="221"/>
      <c r="V369" s="221"/>
      <c r="W369" s="221"/>
      <c r="X369" s="221"/>
    </row>
    <row r="370" spans="5:24" x14ac:dyDescent="0.25">
      <c r="E370" s="221"/>
      <c r="F370" s="221"/>
      <c r="G370" s="221"/>
      <c r="H370" s="221"/>
      <c r="I370" s="221"/>
      <c r="J370" s="221"/>
      <c r="K370" s="221"/>
      <c r="L370" s="221"/>
      <c r="M370" s="221"/>
      <c r="N370" s="221"/>
      <c r="O370" s="221"/>
      <c r="P370" s="221"/>
      <c r="Q370" s="221"/>
      <c r="R370" s="221"/>
      <c r="S370" s="221"/>
      <c r="T370" s="221"/>
      <c r="U370" s="221"/>
      <c r="V370" s="221"/>
      <c r="W370" s="221"/>
      <c r="X370" s="221"/>
    </row>
    <row r="371" spans="5:24" x14ac:dyDescent="0.25">
      <c r="E371" s="221"/>
      <c r="F371" s="221"/>
      <c r="G371" s="221"/>
      <c r="H371" s="221"/>
      <c r="I371" s="221"/>
      <c r="J371" s="221"/>
      <c r="K371" s="221"/>
      <c r="L371" s="221"/>
      <c r="M371" s="221"/>
      <c r="N371" s="221"/>
      <c r="O371" s="221"/>
      <c r="P371" s="221"/>
      <c r="Q371" s="221"/>
      <c r="R371" s="221"/>
      <c r="S371" s="221"/>
      <c r="T371" s="221"/>
      <c r="U371" s="221"/>
      <c r="V371" s="221"/>
      <c r="W371" s="221"/>
      <c r="X371" s="221"/>
    </row>
    <row r="372" spans="5:24" x14ac:dyDescent="0.25">
      <c r="E372" s="221"/>
      <c r="F372" s="221"/>
      <c r="G372" s="221"/>
      <c r="H372" s="221"/>
      <c r="I372" s="221"/>
      <c r="J372" s="221"/>
      <c r="K372" s="221"/>
      <c r="L372" s="221"/>
      <c r="M372" s="221"/>
      <c r="N372" s="221"/>
      <c r="O372" s="221"/>
      <c r="P372" s="221"/>
      <c r="Q372" s="221"/>
      <c r="R372" s="221"/>
      <c r="S372" s="221"/>
      <c r="T372" s="221"/>
      <c r="U372" s="221"/>
      <c r="V372" s="221"/>
      <c r="W372" s="221"/>
      <c r="X372" s="221"/>
    </row>
    <row r="373" spans="5:24" x14ac:dyDescent="0.25">
      <c r="E373" s="221"/>
      <c r="F373" s="221"/>
      <c r="G373" s="221"/>
      <c r="H373" s="221"/>
      <c r="I373" s="221"/>
      <c r="J373" s="221"/>
      <c r="K373" s="221"/>
      <c r="L373" s="221"/>
      <c r="M373" s="221"/>
      <c r="N373" s="221"/>
      <c r="O373" s="221"/>
      <c r="P373" s="221"/>
      <c r="Q373" s="221"/>
      <c r="R373" s="221"/>
      <c r="S373" s="221"/>
      <c r="T373" s="221"/>
      <c r="U373" s="221"/>
      <c r="V373" s="221"/>
      <c r="W373" s="221"/>
      <c r="X373" s="221"/>
    </row>
    <row r="374" spans="5:24" x14ac:dyDescent="0.25">
      <c r="E374" s="221"/>
      <c r="F374" s="221"/>
      <c r="G374" s="221"/>
      <c r="H374" s="221"/>
      <c r="I374" s="221"/>
      <c r="J374" s="221"/>
      <c r="K374" s="221"/>
      <c r="L374" s="221"/>
      <c r="M374" s="221"/>
      <c r="N374" s="221"/>
      <c r="O374" s="221"/>
      <c r="P374" s="221"/>
      <c r="Q374" s="221"/>
      <c r="R374" s="221"/>
      <c r="S374" s="221"/>
      <c r="T374" s="221"/>
      <c r="U374" s="221"/>
      <c r="V374" s="221"/>
      <c r="W374" s="221"/>
      <c r="X374" s="221"/>
    </row>
    <row r="375" spans="5:24" x14ac:dyDescent="0.25">
      <c r="E375" s="221"/>
      <c r="F375" s="221"/>
      <c r="G375" s="221"/>
      <c r="H375" s="221"/>
      <c r="I375" s="221"/>
      <c r="J375" s="221"/>
      <c r="K375" s="221"/>
      <c r="L375" s="221"/>
      <c r="M375" s="221"/>
      <c r="N375" s="221"/>
      <c r="O375" s="221"/>
      <c r="P375" s="221"/>
      <c r="Q375" s="221"/>
      <c r="R375" s="221"/>
      <c r="S375" s="221"/>
      <c r="T375" s="221"/>
      <c r="U375" s="221"/>
      <c r="V375" s="221"/>
      <c r="W375" s="221"/>
      <c r="X375" s="221"/>
    </row>
    <row r="376" spans="5:24" x14ac:dyDescent="0.25">
      <c r="E376" s="221"/>
      <c r="F376" s="221"/>
      <c r="G376" s="221"/>
      <c r="H376" s="221"/>
      <c r="I376" s="221"/>
      <c r="J376" s="221"/>
      <c r="K376" s="221"/>
      <c r="L376" s="221"/>
      <c r="M376" s="221"/>
      <c r="N376" s="221"/>
      <c r="O376" s="221"/>
      <c r="P376" s="221"/>
      <c r="Q376" s="221"/>
      <c r="R376" s="221"/>
      <c r="S376" s="221"/>
      <c r="T376" s="221"/>
      <c r="U376" s="221"/>
      <c r="V376" s="221"/>
      <c r="W376" s="221"/>
      <c r="X376" s="221"/>
    </row>
    <row r="377" spans="5:24" x14ac:dyDescent="0.25">
      <c r="E377" s="221"/>
      <c r="F377" s="221"/>
      <c r="G377" s="221"/>
      <c r="H377" s="221"/>
      <c r="I377" s="221"/>
      <c r="J377" s="221"/>
      <c r="K377" s="221"/>
      <c r="L377" s="221"/>
      <c r="M377" s="221"/>
      <c r="N377" s="221"/>
      <c r="O377" s="221"/>
      <c r="P377" s="221"/>
      <c r="Q377" s="221"/>
      <c r="R377" s="221"/>
      <c r="S377" s="221"/>
      <c r="T377" s="221"/>
      <c r="U377" s="221"/>
      <c r="V377" s="221"/>
      <c r="W377" s="221"/>
      <c r="X377" s="221"/>
    </row>
    <row r="378" spans="5:24" x14ac:dyDescent="0.25">
      <c r="E378" s="221"/>
      <c r="F378" s="221"/>
      <c r="G378" s="221"/>
      <c r="H378" s="221"/>
      <c r="I378" s="221"/>
      <c r="J378" s="221"/>
      <c r="K378" s="221"/>
      <c r="L378" s="221"/>
      <c r="M378" s="221"/>
      <c r="N378" s="221"/>
      <c r="O378" s="221"/>
      <c r="P378" s="221"/>
      <c r="Q378" s="221"/>
      <c r="R378" s="221"/>
      <c r="S378" s="221"/>
      <c r="T378" s="221"/>
      <c r="U378" s="221"/>
      <c r="V378" s="221"/>
      <c r="W378" s="221"/>
      <c r="X378" s="221"/>
    </row>
    <row r="379" spans="5:24" x14ac:dyDescent="0.25">
      <c r="E379" s="221"/>
      <c r="F379" s="221"/>
      <c r="G379" s="221"/>
      <c r="H379" s="221"/>
      <c r="I379" s="221"/>
      <c r="J379" s="221"/>
      <c r="K379" s="221"/>
      <c r="L379" s="221"/>
      <c r="M379" s="221"/>
      <c r="N379" s="221"/>
      <c r="O379" s="221"/>
      <c r="P379" s="221"/>
      <c r="Q379" s="221"/>
      <c r="R379" s="221"/>
      <c r="S379" s="221"/>
      <c r="T379" s="221"/>
      <c r="U379" s="221"/>
      <c r="V379" s="221"/>
      <c r="W379" s="221"/>
      <c r="X379" s="221"/>
    </row>
    <row r="380" spans="5:24" x14ac:dyDescent="0.25">
      <c r="E380" s="221"/>
      <c r="F380" s="221"/>
      <c r="G380" s="221"/>
      <c r="H380" s="221"/>
      <c r="I380" s="221"/>
      <c r="J380" s="221"/>
      <c r="K380" s="221"/>
      <c r="L380" s="221"/>
      <c r="M380" s="221"/>
      <c r="N380" s="221"/>
      <c r="O380" s="221"/>
      <c r="P380" s="221"/>
      <c r="Q380" s="221"/>
      <c r="R380" s="221"/>
      <c r="S380" s="221"/>
      <c r="T380" s="221"/>
      <c r="U380" s="221"/>
      <c r="V380" s="221"/>
      <c r="W380" s="221"/>
      <c r="X380" s="221"/>
    </row>
    <row r="381" spans="5:24" x14ac:dyDescent="0.25">
      <c r="E381" s="221"/>
      <c r="F381" s="221"/>
      <c r="G381" s="221"/>
      <c r="H381" s="221"/>
      <c r="I381" s="221"/>
      <c r="J381" s="221"/>
      <c r="K381" s="221"/>
      <c r="L381" s="221"/>
      <c r="M381" s="221"/>
      <c r="N381" s="221"/>
      <c r="O381" s="221"/>
      <c r="P381" s="221"/>
      <c r="Q381" s="221"/>
      <c r="R381" s="221"/>
      <c r="S381" s="221"/>
      <c r="T381" s="221"/>
      <c r="U381" s="221"/>
      <c r="V381" s="221"/>
      <c r="W381" s="221"/>
      <c r="X381" s="221"/>
    </row>
    <row r="382" spans="5:24" x14ac:dyDescent="0.25">
      <c r="E382" s="221"/>
      <c r="F382" s="221"/>
      <c r="G382" s="221"/>
      <c r="H382" s="221"/>
      <c r="I382" s="221"/>
      <c r="J382" s="221"/>
      <c r="K382" s="221"/>
      <c r="L382" s="221"/>
      <c r="M382" s="221"/>
      <c r="N382" s="221"/>
      <c r="O382" s="221"/>
      <c r="P382" s="221"/>
      <c r="Q382" s="221"/>
      <c r="R382" s="221"/>
      <c r="S382" s="221"/>
      <c r="T382" s="221"/>
      <c r="U382" s="221"/>
      <c r="V382" s="221"/>
      <c r="W382" s="221"/>
      <c r="X382" s="221"/>
    </row>
    <row r="383" spans="5:24" x14ac:dyDescent="0.25">
      <c r="E383" s="221"/>
      <c r="F383" s="221"/>
      <c r="G383" s="221"/>
      <c r="H383" s="221"/>
      <c r="I383" s="221"/>
      <c r="J383" s="221"/>
      <c r="K383" s="221"/>
      <c r="L383" s="221"/>
      <c r="M383" s="221"/>
      <c r="N383" s="221"/>
      <c r="O383" s="221"/>
      <c r="P383" s="221"/>
      <c r="Q383" s="221"/>
      <c r="R383" s="221"/>
      <c r="S383" s="221"/>
      <c r="T383" s="221"/>
      <c r="U383" s="221"/>
      <c r="V383" s="221"/>
      <c r="W383" s="221"/>
      <c r="X383" s="221"/>
    </row>
    <row r="384" spans="5:24" x14ac:dyDescent="0.25">
      <c r="E384" s="221"/>
      <c r="F384" s="221"/>
      <c r="G384" s="221"/>
      <c r="H384" s="221"/>
      <c r="I384" s="221"/>
      <c r="J384" s="221"/>
      <c r="K384" s="221"/>
      <c r="L384" s="221"/>
      <c r="M384" s="221"/>
      <c r="N384" s="221"/>
      <c r="O384" s="221"/>
      <c r="P384" s="221"/>
      <c r="Q384" s="221"/>
      <c r="R384" s="221"/>
      <c r="S384" s="221"/>
      <c r="T384" s="221"/>
      <c r="U384" s="221"/>
      <c r="V384" s="221"/>
      <c r="W384" s="221"/>
      <c r="X384" s="221"/>
    </row>
    <row r="385" spans="5:24" x14ac:dyDescent="0.25">
      <c r="E385" s="221"/>
      <c r="F385" s="221"/>
      <c r="G385" s="221"/>
      <c r="H385" s="221"/>
      <c r="I385" s="221"/>
      <c r="J385" s="221"/>
      <c r="K385" s="221"/>
      <c r="L385" s="221"/>
      <c r="M385" s="221"/>
      <c r="N385" s="221"/>
      <c r="O385" s="221"/>
      <c r="P385" s="221"/>
      <c r="Q385" s="221"/>
      <c r="R385" s="221"/>
      <c r="S385" s="221"/>
      <c r="T385" s="221"/>
      <c r="U385" s="221"/>
      <c r="V385" s="221"/>
      <c r="W385" s="221"/>
      <c r="X385" s="221"/>
    </row>
    <row r="386" spans="5:24" x14ac:dyDescent="0.25">
      <c r="E386" s="221"/>
      <c r="F386" s="221"/>
      <c r="G386" s="221"/>
      <c r="H386" s="221"/>
      <c r="I386" s="221"/>
      <c r="J386" s="221"/>
      <c r="K386" s="221"/>
      <c r="L386" s="221"/>
      <c r="M386" s="221"/>
      <c r="N386" s="221"/>
      <c r="O386" s="221"/>
      <c r="P386" s="221"/>
      <c r="Q386" s="221"/>
      <c r="R386" s="221"/>
      <c r="S386" s="221"/>
      <c r="T386" s="221"/>
      <c r="U386" s="221"/>
      <c r="V386" s="221"/>
      <c r="W386" s="221"/>
      <c r="X386" s="221"/>
    </row>
    <row r="387" spans="5:24" x14ac:dyDescent="0.25">
      <c r="E387" s="221"/>
      <c r="F387" s="221"/>
      <c r="G387" s="221"/>
      <c r="H387" s="221"/>
      <c r="I387" s="221"/>
      <c r="J387" s="221"/>
      <c r="K387" s="221"/>
      <c r="L387" s="221"/>
      <c r="M387" s="221"/>
      <c r="N387" s="221"/>
      <c r="O387" s="221"/>
      <c r="P387" s="221"/>
      <c r="Q387" s="221"/>
      <c r="R387" s="221"/>
      <c r="S387" s="221"/>
      <c r="T387" s="221"/>
      <c r="U387" s="221"/>
      <c r="V387" s="221"/>
      <c r="W387" s="221"/>
      <c r="X387" s="221"/>
    </row>
    <row r="388" spans="5:24" x14ac:dyDescent="0.25">
      <c r="E388" s="221"/>
      <c r="F388" s="221"/>
      <c r="G388" s="221"/>
      <c r="H388" s="221"/>
      <c r="I388" s="221"/>
      <c r="J388" s="221"/>
      <c r="K388" s="221"/>
      <c r="L388" s="221"/>
      <c r="M388" s="221"/>
      <c r="N388" s="221"/>
      <c r="O388" s="221"/>
      <c r="P388" s="221"/>
      <c r="Q388" s="221"/>
      <c r="R388" s="221"/>
      <c r="S388" s="221"/>
      <c r="T388" s="221"/>
      <c r="U388" s="221"/>
      <c r="V388" s="221"/>
      <c r="W388" s="221"/>
      <c r="X388" s="221"/>
    </row>
    <row r="389" spans="5:24" x14ac:dyDescent="0.25">
      <c r="E389" s="221"/>
      <c r="F389" s="221"/>
      <c r="G389" s="221"/>
      <c r="H389" s="221"/>
      <c r="I389" s="221"/>
      <c r="J389" s="221"/>
      <c r="K389" s="221"/>
      <c r="L389" s="221"/>
      <c r="M389" s="221"/>
      <c r="N389" s="221"/>
      <c r="O389" s="221"/>
      <c r="P389" s="221"/>
      <c r="Q389" s="221"/>
      <c r="R389" s="221"/>
      <c r="S389" s="221"/>
      <c r="T389" s="221"/>
      <c r="U389" s="221"/>
      <c r="V389" s="221"/>
      <c r="W389" s="221"/>
      <c r="X389" s="221"/>
    </row>
    <row r="390" spans="5:24" x14ac:dyDescent="0.25">
      <c r="E390" s="221"/>
      <c r="F390" s="221"/>
      <c r="G390" s="221"/>
      <c r="H390" s="221"/>
      <c r="I390" s="221"/>
      <c r="J390" s="221"/>
      <c r="K390" s="221"/>
      <c r="L390" s="221"/>
      <c r="M390" s="221"/>
      <c r="N390" s="221"/>
      <c r="O390" s="221"/>
      <c r="P390" s="221"/>
      <c r="Q390" s="221"/>
      <c r="R390" s="221"/>
      <c r="S390" s="221"/>
      <c r="T390" s="221"/>
      <c r="U390" s="221"/>
      <c r="V390" s="221"/>
      <c r="W390" s="221"/>
      <c r="X390" s="221"/>
    </row>
    <row r="391" spans="5:24" x14ac:dyDescent="0.25">
      <c r="E391" s="221"/>
      <c r="F391" s="221"/>
      <c r="G391" s="221"/>
      <c r="H391" s="221"/>
      <c r="I391" s="221"/>
      <c r="J391" s="221"/>
      <c r="K391" s="221"/>
      <c r="L391" s="221"/>
      <c r="M391" s="221"/>
      <c r="N391" s="221"/>
      <c r="O391" s="221"/>
      <c r="P391" s="221"/>
      <c r="Q391" s="221"/>
      <c r="R391" s="221"/>
      <c r="S391" s="221"/>
      <c r="T391" s="221"/>
      <c r="U391" s="221"/>
      <c r="V391" s="221"/>
      <c r="W391" s="221"/>
      <c r="X391" s="221"/>
    </row>
    <row r="392" spans="5:24" x14ac:dyDescent="0.25">
      <c r="E392" s="221"/>
      <c r="F392" s="221"/>
      <c r="G392" s="221"/>
      <c r="H392" s="221"/>
      <c r="I392" s="221"/>
      <c r="J392" s="221"/>
      <c r="K392" s="221"/>
      <c r="L392" s="221"/>
      <c r="M392" s="221"/>
      <c r="N392" s="221"/>
      <c r="O392" s="221"/>
      <c r="P392" s="221"/>
      <c r="Q392" s="221"/>
      <c r="R392" s="221"/>
      <c r="S392" s="221"/>
      <c r="T392" s="221"/>
      <c r="U392" s="221"/>
      <c r="V392" s="221"/>
      <c r="W392" s="221"/>
      <c r="X392" s="221"/>
    </row>
    <row r="393" spans="5:24" x14ac:dyDescent="0.25">
      <c r="E393" s="221"/>
      <c r="F393" s="221"/>
      <c r="G393" s="221"/>
      <c r="H393" s="221"/>
      <c r="I393" s="221"/>
      <c r="J393" s="221"/>
      <c r="K393" s="221"/>
      <c r="L393" s="221"/>
      <c r="M393" s="221"/>
      <c r="N393" s="221"/>
      <c r="O393" s="221"/>
      <c r="P393" s="221"/>
      <c r="Q393" s="221"/>
      <c r="R393" s="221"/>
      <c r="S393" s="221"/>
      <c r="T393" s="221"/>
      <c r="U393" s="221"/>
      <c r="V393" s="221"/>
      <c r="W393" s="221"/>
      <c r="X393" s="221"/>
    </row>
    <row r="394" spans="5:24" x14ac:dyDescent="0.25">
      <c r="E394" s="221"/>
      <c r="F394" s="221"/>
      <c r="G394" s="221"/>
      <c r="H394" s="221"/>
      <c r="I394" s="221"/>
      <c r="J394" s="221"/>
      <c r="K394" s="221"/>
      <c r="L394" s="221"/>
      <c r="M394" s="221"/>
      <c r="N394" s="221"/>
      <c r="O394" s="221"/>
      <c r="P394" s="221"/>
      <c r="Q394" s="221"/>
      <c r="R394" s="221"/>
      <c r="S394" s="221"/>
      <c r="T394" s="221"/>
      <c r="U394" s="221"/>
      <c r="V394" s="221"/>
      <c r="W394" s="221"/>
      <c r="X394" s="221"/>
    </row>
    <row r="395" spans="5:24" x14ac:dyDescent="0.25">
      <c r="E395" s="221"/>
      <c r="F395" s="221"/>
      <c r="G395" s="221"/>
      <c r="H395" s="221"/>
      <c r="I395" s="221"/>
      <c r="J395" s="221"/>
      <c r="K395" s="221"/>
      <c r="L395" s="221"/>
      <c r="M395" s="221"/>
      <c r="N395" s="221"/>
      <c r="O395" s="221"/>
      <c r="P395" s="221"/>
      <c r="Q395" s="221"/>
      <c r="R395" s="221"/>
      <c r="S395" s="221"/>
      <c r="T395" s="221"/>
      <c r="U395" s="221"/>
      <c r="V395" s="221"/>
      <c r="W395" s="221"/>
      <c r="X395" s="221"/>
    </row>
    <row r="396" spans="5:24" x14ac:dyDescent="0.25">
      <c r="E396" s="221"/>
      <c r="F396" s="221"/>
      <c r="G396" s="221"/>
      <c r="H396" s="221"/>
      <c r="I396" s="221"/>
      <c r="J396" s="221"/>
      <c r="K396" s="221"/>
      <c r="L396" s="221"/>
      <c r="M396" s="221"/>
      <c r="N396" s="221"/>
      <c r="O396" s="221"/>
      <c r="P396" s="221"/>
      <c r="Q396" s="221"/>
      <c r="R396" s="221"/>
      <c r="S396" s="221"/>
      <c r="T396" s="221"/>
      <c r="U396" s="221"/>
      <c r="V396" s="221"/>
      <c r="W396" s="221"/>
      <c r="X396" s="221"/>
    </row>
    <row r="397" spans="5:24" x14ac:dyDescent="0.25">
      <c r="E397" s="221"/>
      <c r="F397" s="221"/>
      <c r="G397" s="221"/>
      <c r="H397" s="221"/>
      <c r="I397" s="221"/>
      <c r="J397" s="221"/>
      <c r="K397" s="221"/>
      <c r="L397" s="221"/>
      <c r="M397" s="221"/>
      <c r="N397" s="221"/>
      <c r="O397" s="221"/>
      <c r="P397" s="221"/>
      <c r="Q397" s="221"/>
      <c r="R397" s="221"/>
      <c r="S397" s="221"/>
      <c r="T397" s="221"/>
      <c r="U397" s="221"/>
      <c r="V397" s="221"/>
      <c r="W397" s="221"/>
      <c r="X397" s="221"/>
    </row>
    <row r="398" spans="5:24" x14ac:dyDescent="0.25">
      <c r="E398" s="221"/>
      <c r="F398" s="221"/>
      <c r="G398" s="221"/>
      <c r="H398" s="221"/>
      <c r="I398" s="221"/>
      <c r="J398" s="221"/>
      <c r="K398" s="221"/>
      <c r="L398" s="221"/>
      <c r="M398" s="221"/>
      <c r="N398" s="221"/>
      <c r="O398" s="221"/>
      <c r="P398" s="221"/>
      <c r="Q398" s="221"/>
      <c r="R398" s="221"/>
      <c r="S398" s="221"/>
      <c r="T398" s="221"/>
      <c r="U398" s="221"/>
      <c r="V398" s="221"/>
      <c r="W398" s="221"/>
      <c r="X398" s="221"/>
    </row>
    <row r="399" spans="5:24" x14ac:dyDescent="0.25">
      <c r="E399" s="221"/>
      <c r="F399" s="221"/>
      <c r="G399" s="221"/>
      <c r="H399" s="221"/>
      <c r="I399" s="221"/>
      <c r="J399" s="221"/>
      <c r="K399" s="221"/>
      <c r="L399" s="221"/>
      <c r="M399" s="221"/>
      <c r="N399" s="221"/>
      <c r="O399" s="221"/>
      <c r="P399" s="221"/>
      <c r="Q399" s="221"/>
      <c r="R399" s="221"/>
      <c r="S399" s="221"/>
      <c r="T399" s="221"/>
      <c r="U399" s="221"/>
      <c r="V399" s="221"/>
      <c r="W399" s="221"/>
      <c r="X399" s="221"/>
    </row>
    <row r="400" spans="5:24" x14ac:dyDescent="0.25">
      <c r="E400" s="221"/>
      <c r="F400" s="221"/>
      <c r="G400" s="221"/>
      <c r="H400" s="221"/>
      <c r="I400" s="221"/>
      <c r="J400" s="221"/>
      <c r="K400" s="221"/>
      <c r="L400" s="221"/>
      <c r="M400" s="221"/>
      <c r="N400" s="221"/>
      <c r="O400" s="221"/>
      <c r="P400" s="221"/>
      <c r="Q400" s="221"/>
      <c r="R400" s="221"/>
      <c r="S400" s="221"/>
      <c r="T400" s="221"/>
      <c r="U400" s="221"/>
      <c r="V400" s="221"/>
      <c r="W400" s="221"/>
      <c r="X400" s="221"/>
    </row>
    <row r="401" spans="5:24" x14ac:dyDescent="0.25">
      <c r="E401" s="221"/>
      <c r="F401" s="221"/>
      <c r="G401" s="221"/>
      <c r="H401" s="221"/>
      <c r="I401" s="221"/>
      <c r="J401" s="221"/>
      <c r="K401" s="221"/>
      <c r="L401" s="221"/>
      <c r="M401" s="221"/>
      <c r="N401" s="221"/>
      <c r="O401" s="221"/>
      <c r="P401" s="221"/>
      <c r="Q401" s="221"/>
      <c r="R401" s="221"/>
      <c r="S401" s="221"/>
      <c r="T401" s="221"/>
      <c r="U401" s="221"/>
      <c r="V401" s="221"/>
      <c r="W401" s="221"/>
      <c r="X401" s="221"/>
    </row>
    <row r="402" spans="5:24" x14ac:dyDescent="0.25">
      <c r="E402" s="221"/>
      <c r="F402" s="221"/>
      <c r="G402" s="221"/>
      <c r="H402" s="221"/>
      <c r="I402" s="221"/>
      <c r="J402" s="221"/>
      <c r="K402" s="221"/>
      <c r="L402" s="221"/>
      <c r="M402" s="221"/>
      <c r="N402" s="221"/>
      <c r="O402" s="221"/>
      <c r="P402" s="221"/>
      <c r="Q402" s="221"/>
      <c r="R402" s="221"/>
      <c r="S402" s="221"/>
      <c r="T402" s="221"/>
      <c r="U402" s="221"/>
      <c r="V402" s="221"/>
      <c r="W402" s="221"/>
      <c r="X402" s="221"/>
    </row>
    <row r="403" spans="5:24" x14ac:dyDescent="0.25">
      <c r="E403" s="221"/>
      <c r="F403" s="221"/>
      <c r="G403" s="221"/>
      <c r="H403" s="221"/>
      <c r="I403" s="221"/>
      <c r="J403" s="221"/>
      <c r="K403" s="221"/>
      <c r="L403" s="221"/>
      <c r="M403" s="221"/>
      <c r="N403" s="221"/>
      <c r="O403" s="221"/>
      <c r="P403" s="221"/>
      <c r="Q403" s="221"/>
      <c r="R403" s="221"/>
      <c r="S403" s="221"/>
      <c r="T403" s="221"/>
      <c r="U403" s="221"/>
      <c r="V403" s="221"/>
      <c r="W403" s="221"/>
      <c r="X403" s="221"/>
    </row>
    <row r="404" spans="5:24" x14ac:dyDescent="0.25">
      <c r="E404" s="221"/>
      <c r="F404" s="221"/>
      <c r="G404" s="221"/>
      <c r="H404" s="221"/>
      <c r="I404" s="221"/>
      <c r="J404" s="221"/>
      <c r="K404" s="221"/>
      <c r="L404" s="221"/>
      <c r="M404" s="221"/>
      <c r="N404" s="221"/>
      <c r="O404" s="221"/>
      <c r="P404" s="221"/>
      <c r="Q404" s="221"/>
      <c r="R404" s="221"/>
      <c r="S404" s="221"/>
      <c r="T404" s="221"/>
      <c r="U404" s="221"/>
      <c r="V404" s="221"/>
      <c r="W404" s="221"/>
      <c r="X404" s="221"/>
    </row>
    <row r="405" spans="5:24" x14ac:dyDescent="0.25">
      <c r="E405" s="221"/>
      <c r="F405" s="221"/>
      <c r="G405" s="221"/>
      <c r="H405" s="221"/>
      <c r="I405" s="221"/>
      <c r="J405" s="221"/>
      <c r="K405" s="221"/>
      <c r="L405" s="221"/>
      <c r="M405" s="221"/>
      <c r="N405" s="221"/>
      <c r="O405" s="221"/>
      <c r="P405" s="221"/>
      <c r="Q405" s="221"/>
      <c r="R405" s="221"/>
      <c r="S405" s="221"/>
      <c r="T405" s="221"/>
      <c r="U405" s="221"/>
      <c r="V405" s="221"/>
      <c r="W405" s="221"/>
      <c r="X405" s="221"/>
    </row>
    <row r="406" spans="5:24" x14ac:dyDescent="0.25">
      <c r="E406" s="221"/>
      <c r="F406" s="221"/>
      <c r="G406" s="221"/>
      <c r="H406" s="221"/>
      <c r="I406" s="221"/>
      <c r="J406" s="221"/>
      <c r="K406" s="221"/>
      <c r="L406" s="221"/>
      <c r="M406" s="221"/>
      <c r="N406" s="221"/>
      <c r="O406" s="221"/>
      <c r="P406" s="221"/>
      <c r="Q406" s="221"/>
      <c r="R406" s="221"/>
      <c r="S406" s="221"/>
      <c r="T406" s="221"/>
      <c r="U406" s="221"/>
      <c r="V406" s="221"/>
      <c r="W406" s="221"/>
      <c r="X406" s="221"/>
    </row>
    <row r="407" spans="5:24" x14ac:dyDescent="0.25">
      <c r="E407" s="221"/>
      <c r="F407" s="221"/>
      <c r="G407" s="221"/>
      <c r="H407" s="221"/>
      <c r="I407" s="221"/>
      <c r="J407" s="221"/>
      <c r="K407" s="221"/>
      <c r="L407" s="221"/>
      <c r="M407" s="221"/>
      <c r="N407" s="221"/>
      <c r="O407" s="221"/>
      <c r="P407" s="221"/>
      <c r="Q407" s="221"/>
      <c r="R407" s="221"/>
      <c r="S407" s="221"/>
      <c r="T407" s="221"/>
      <c r="U407" s="221"/>
      <c r="V407" s="221"/>
      <c r="W407" s="221"/>
      <c r="X407" s="221"/>
    </row>
    <row r="408" spans="5:24" x14ac:dyDescent="0.25">
      <c r="E408" s="221"/>
      <c r="F408" s="221"/>
      <c r="G408" s="221"/>
      <c r="H408" s="221"/>
      <c r="I408" s="221"/>
      <c r="J408" s="221"/>
      <c r="K408" s="221"/>
      <c r="L408" s="221"/>
      <c r="M408" s="221"/>
      <c r="N408" s="221"/>
      <c r="O408" s="221"/>
      <c r="P408" s="221"/>
      <c r="Q408" s="221"/>
      <c r="R408" s="221"/>
      <c r="S408" s="221"/>
      <c r="T408" s="221"/>
      <c r="U408" s="221"/>
      <c r="V408" s="221"/>
      <c r="W408" s="221"/>
      <c r="X408" s="221"/>
    </row>
    <row r="409" spans="5:24" x14ac:dyDescent="0.25">
      <c r="E409" s="221"/>
      <c r="F409" s="221"/>
      <c r="G409" s="221"/>
      <c r="H409" s="221"/>
      <c r="I409" s="221"/>
      <c r="J409" s="221"/>
      <c r="K409" s="221"/>
      <c r="L409" s="221"/>
      <c r="M409" s="221"/>
      <c r="N409" s="221"/>
      <c r="O409" s="221"/>
      <c r="P409" s="221"/>
      <c r="Q409" s="221"/>
      <c r="R409" s="221"/>
      <c r="S409" s="221"/>
      <c r="T409" s="221"/>
      <c r="U409" s="221"/>
      <c r="V409" s="221"/>
      <c r="W409" s="221"/>
      <c r="X409" s="221"/>
    </row>
    <row r="410" spans="5:24" x14ac:dyDescent="0.25">
      <c r="E410" s="221"/>
      <c r="F410" s="221"/>
      <c r="G410" s="221"/>
      <c r="H410" s="221"/>
      <c r="I410" s="221"/>
      <c r="J410" s="221"/>
      <c r="K410" s="221"/>
      <c r="L410" s="221"/>
      <c r="M410" s="221"/>
      <c r="N410" s="221"/>
      <c r="O410" s="221"/>
      <c r="P410" s="221"/>
      <c r="Q410" s="221"/>
      <c r="R410" s="221"/>
      <c r="S410" s="221"/>
      <c r="T410" s="221"/>
      <c r="U410" s="221"/>
      <c r="V410" s="221"/>
      <c r="W410" s="221"/>
      <c r="X410" s="221"/>
    </row>
    <row r="411" spans="5:24" x14ac:dyDescent="0.25">
      <c r="E411" s="221"/>
      <c r="F411" s="221"/>
      <c r="G411" s="221"/>
      <c r="H411" s="221"/>
      <c r="I411" s="221"/>
      <c r="J411" s="221"/>
      <c r="K411" s="221"/>
      <c r="L411" s="221"/>
      <c r="M411" s="221"/>
      <c r="N411" s="221"/>
      <c r="O411" s="221"/>
      <c r="P411" s="221"/>
      <c r="Q411" s="221"/>
      <c r="R411" s="221"/>
      <c r="S411" s="221"/>
      <c r="T411" s="221"/>
      <c r="U411" s="221"/>
      <c r="V411" s="221"/>
      <c r="W411" s="221"/>
      <c r="X411" s="221"/>
    </row>
    <row r="412" spans="5:24" x14ac:dyDescent="0.25">
      <c r="E412" s="221"/>
      <c r="F412" s="221"/>
      <c r="G412" s="221"/>
      <c r="H412" s="221"/>
      <c r="I412" s="221"/>
      <c r="J412" s="221"/>
      <c r="K412" s="221"/>
      <c r="L412" s="221"/>
      <c r="M412" s="221"/>
      <c r="N412" s="221"/>
      <c r="O412" s="221"/>
      <c r="P412" s="221"/>
      <c r="Q412" s="221"/>
      <c r="R412" s="221"/>
      <c r="S412" s="221"/>
      <c r="T412" s="221"/>
      <c r="U412" s="221"/>
      <c r="V412" s="221"/>
      <c r="W412" s="221"/>
      <c r="X412" s="221"/>
    </row>
    <row r="413" spans="5:24" x14ac:dyDescent="0.25">
      <c r="E413" s="221"/>
      <c r="F413" s="221"/>
      <c r="G413" s="221"/>
      <c r="H413" s="221"/>
      <c r="I413" s="221"/>
      <c r="J413" s="221"/>
      <c r="K413" s="221"/>
      <c r="L413" s="221"/>
      <c r="M413" s="221"/>
      <c r="N413" s="221"/>
      <c r="O413" s="221"/>
      <c r="P413" s="221"/>
      <c r="Q413" s="221"/>
      <c r="R413" s="221"/>
      <c r="S413" s="221"/>
      <c r="T413" s="221"/>
      <c r="U413" s="221"/>
      <c r="V413" s="221"/>
      <c r="W413" s="221"/>
      <c r="X413" s="221"/>
    </row>
    <row r="414" spans="5:24" x14ac:dyDescent="0.25">
      <c r="E414" s="221"/>
      <c r="F414" s="221"/>
      <c r="G414" s="221"/>
      <c r="H414" s="221"/>
      <c r="I414" s="221"/>
      <c r="J414" s="221"/>
      <c r="K414" s="221"/>
      <c r="L414" s="221"/>
      <c r="M414" s="221"/>
      <c r="N414" s="221"/>
      <c r="O414" s="221"/>
      <c r="P414" s="221"/>
      <c r="Q414" s="221"/>
      <c r="R414" s="221"/>
      <c r="S414" s="221"/>
      <c r="T414" s="221"/>
      <c r="U414" s="221"/>
      <c r="V414" s="221"/>
      <c r="W414" s="221"/>
      <c r="X414" s="221"/>
    </row>
    <row r="415" spans="5:24" x14ac:dyDescent="0.25">
      <c r="E415" s="221"/>
      <c r="F415" s="221"/>
      <c r="G415" s="221"/>
      <c r="H415" s="221"/>
      <c r="I415" s="221"/>
      <c r="J415" s="221"/>
      <c r="K415" s="221"/>
      <c r="L415" s="221"/>
      <c r="M415" s="221"/>
      <c r="N415" s="221"/>
      <c r="O415" s="221"/>
      <c r="P415" s="221"/>
      <c r="Q415" s="221"/>
      <c r="R415" s="221"/>
      <c r="S415" s="221"/>
      <c r="T415" s="221"/>
      <c r="U415" s="221"/>
      <c r="V415" s="221"/>
      <c r="W415" s="221"/>
      <c r="X415" s="221"/>
    </row>
    <row r="416" spans="5:24" x14ac:dyDescent="0.25">
      <c r="E416" s="221"/>
      <c r="F416" s="221"/>
      <c r="G416" s="221"/>
      <c r="H416" s="221"/>
      <c r="I416" s="221"/>
      <c r="J416" s="221"/>
      <c r="K416" s="221"/>
      <c r="L416" s="221"/>
      <c r="M416" s="221"/>
      <c r="N416" s="221"/>
      <c r="O416" s="221"/>
      <c r="P416" s="221"/>
      <c r="Q416" s="221"/>
      <c r="R416" s="221"/>
      <c r="S416" s="221"/>
      <c r="T416" s="221"/>
      <c r="U416" s="221"/>
      <c r="V416" s="221"/>
      <c r="W416" s="221"/>
      <c r="X416" s="221"/>
    </row>
    <row r="417" spans="5:24" x14ac:dyDescent="0.25">
      <c r="E417" s="221"/>
      <c r="F417" s="221"/>
      <c r="G417" s="221"/>
      <c r="H417" s="221"/>
      <c r="I417" s="221"/>
      <c r="J417" s="221"/>
      <c r="K417" s="221"/>
      <c r="L417" s="221"/>
      <c r="M417" s="221"/>
      <c r="N417" s="221"/>
      <c r="O417" s="221"/>
      <c r="P417" s="221"/>
      <c r="Q417" s="221"/>
      <c r="R417" s="221"/>
      <c r="S417" s="221"/>
      <c r="T417" s="221"/>
      <c r="U417" s="221"/>
      <c r="V417" s="221"/>
      <c r="W417" s="221"/>
      <c r="X417" s="221"/>
    </row>
    <row r="418" spans="5:24" x14ac:dyDescent="0.25">
      <c r="E418" s="221"/>
      <c r="F418" s="221"/>
      <c r="G418" s="221"/>
      <c r="H418" s="221"/>
      <c r="I418" s="221"/>
      <c r="J418" s="221"/>
      <c r="K418" s="221"/>
      <c r="L418" s="221"/>
      <c r="M418" s="221"/>
      <c r="N418" s="221"/>
      <c r="O418" s="221"/>
      <c r="P418" s="221"/>
      <c r="Q418" s="221"/>
      <c r="R418" s="221"/>
      <c r="S418" s="221"/>
      <c r="T418" s="221"/>
      <c r="U418" s="221"/>
      <c r="V418" s="221"/>
      <c r="W418" s="221"/>
      <c r="X418" s="221"/>
    </row>
    <row r="419" spans="5:24" x14ac:dyDescent="0.25">
      <c r="E419" s="221"/>
      <c r="F419" s="221"/>
      <c r="G419" s="221"/>
      <c r="H419" s="221"/>
      <c r="I419" s="221"/>
      <c r="J419" s="221"/>
      <c r="K419" s="221"/>
      <c r="L419" s="221"/>
      <c r="M419" s="221"/>
      <c r="N419" s="221"/>
      <c r="O419" s="221"/>
      <c r="P419" s="221"/>
      <c r="Q419" s="221"/>
      <c r="R419" s="221"/>
      <c r="S419" s="221"/>
      <c r="T419" s="221"/>
      <c r="U419" s="221"/>
      <c r="V419" s="221"/>
      <c r="W419" s="221"/>
      <c r="X419" s="221"/>
    </row>
    <row r="420" spans="5:24" x14ac:dyDescent="0.25">
      <c r="E420" s="221"/>
      <c r="F420" s="221"/>
      <c r="G420" s="221"/>
      <c r="H420" s="221"/>
      <c r="I420" s="221"/>
      <c r="J420" s="221"/>
      <c r="K420" s="221"/>
      <c r="L420" s="221"/>
      <c r="M420" s="221"/>
      <c r="N420" s="221"/>
      <c r="O420" s="221"/>
      <c r="P420" s="221"/>
      <c r="Q420" s="221"/>
      <c r="R420" s="221"/>
      <c r="S420" s="221"/>
      <c r="T420" s="221"/>
      <c r="U420" s="221"/>
      <c r="V420" s="221"/>
      <c r="W420" s="221"/>
      <c r="X420" s="221"/>
    </row>
    <row r="421" spans="5:24" x14ac:dyDescent="0.25">
      <c r="E421" s="221"/>
      <c r="F421" s="221"/>
      <c r="G421" s="221"/>
      <c r="H421" s="221"/>
      <c r="I421" s="221"/>
      <c r="J421" s="221"/>
      <c r="K421" s="221"/>
      <c r="L421" s="221"/>
      <c r="M421" s="221"/>
      <c r="N421" s="221"/>
      <c r="O421" s="221"/>
      <c r="P421" s="221"/>
      <c r="Q421" s="221"/>
      <c r="R421" s="221"/>
      <c r="S421" s="221"/>
      <c r="T421" s="221"/>
      <c r="U421" s="221"/>
      <c r="V421" s="221"/>
      <c r="W421" s="221"/>
      <c r="X421" s="221"/>
    </row>
    <row r="422" spans="5:24" x14ac:dyDescent="0.25">
      <c r="E422" s="221"/>
      <c r="F422" s="221"/>
      <c r="G422" s="221"/>
      <c r="H422" s="221"/>
      <c r="I422" s="221"/>
      <c r="J422" s="221"/>
      <c r="K422" s="221"/>
      <c r="L422" s="221"/>
      <c r="M422" s="221"/>
      <c r="N422" s="221"/>
      <c r="O422" s="221"/>
      <c r="P422" s="221"/>
      <c r="Q422" s="221"/>
      <c r="R422" s="221"/>
      <c r="S422" s="221"/>
      <c r="T422" s="221"/>
      <c r="U422" s="221"/>
      <c r="V422" s="221"/>
      <c r="W422" s="221"/>
      <c r="X422" s="221"/>
    </row>
    <row r="423" spans="5:24" x14ac:dyDescent="0.25">
      <c r="E423" s="221"/>
      <c r="F423" s="221"/>
      <c r="G423" s="221"/>
      <c r="H423" s="221"/>
      <c r="I423" s="221"/>
      <c r="J423" s="221"/>
      <c r="K423" s="221"/>
      <c r="L423" s="221"/>
      <c r="M423" s="221"/>
      <c r="N423" s="221"/>
      <c r="O423" s="221"/>
      <c r="P423" s="221"/>
      <c r="Q423" s="221"/>
      <c r="R423" s="221"/>
      <c r="S423" s="221"/>
      <c r="T423" s="221"/>
      <c r="U423" s="221"/>
      <c r="V423" s="221"/>
      <c r="W423" s="221"/>
      <c r="X423" s="221"/>
    </row>
    <row r="424" spans="5:24" x14ac:dyDescent="0.25">
      <c r="E424" s="221"/>
      <c r="F424" s="221"/>
      <c r="G424" s="221"/>
      <c r="H424" s="221"/>
      <c r="I424" s="221"/>
      <c r="J424" s="221"/>
      <c r="K424" s="221"/>
      <c r="L424" s="221"/>
      <c r="M424" s="221"/>
      <c r="N424" s="221"/>
      <c r="O424" s="221"/>
      <c r="P424" s="221"/>
      <c r="Q424" s="221"/>
      <c r="R424" s="221"/>
      <c r="S424" s="221"/>
      <c r="T424" s="221"/>
      <c r="U424" s="221"/>
      <c r="V424" s="221"/>
      <c r="W424" s="221"/>
      <c r="X424" s="221"/>
    </row>
    <row r="425" spans="5:24" x14ac:dyDescent="0.25">
      <c r="E425" s="221"/>
      <c r="F425" s="221"/>
      <c r="G425" s="221"/>
      <c r="H425" s="221"/>
      <c r="I425" s="221"/>
      <c r="J425" s="221"/>
      <c r="K425" s="221"/>
      <c r="L425" s="221"/>
      <c r="M425" s="221"/>
      <c r="N425" s="221"/>
      <c r="O425" s="221"/>
      <c r="P425" s="221"/>
      <c r="Q425" s="221"/>
      <c r="R425" s="221"/>
      <c r="S425" s="221"/>
      <c r="T425" s="221"/>
      <c r="U425" s="221"/>
      <c r="V425" s="221"/>
      <c r="W425" s="221"/>
      <c r="X425" s="221"/>
    </row>
    <row r="426" spans="5:24" x14ac:dyDescent="0.25">
      <c r="E426" s="221"/>
      <c r="F426" s="221"/>
      <c r="G426" s="221"/>
      <c r="H426" s="221"/>
      <c r="I426" s="221"/>
      <c r="J426" s="221"/>
      <c r="K426" s="221"/>
      <c r="L426" s="221"/>
      <c r="M426" s="221"/>
      <c r="N426" s="221"/>
      <c r="O426" s="221"/>
      <c r="P426" s="221"/>
      <c r="Q426" s="221"/>
      <c r="R426" s="221"/>
      <c r="S426" s="221"/>
      <c r="T426" s="221"/>
      <c r="U426" s="221"/>
      <c r="V426" s="221"/>
      <c r="W426" s="221"/>
      <c r="X426" s="221"/>
    </row>
    <row r="427" spans="5:24" x14ac:dyDescent="0.25">
      <c r="E427" s="221"/>
      <c r="F427" s="221"/>
      <c r="G427" s="221"/>
      <c r="H427" s="221"/>
      <c r="I427" s="221"/>
      <c r="J427" s="221"/>
      <c r="K427" s="221"/>
      <c r="L427" s="221"/>
      <c r="M427" s="221"/>
      <c r="N427" s="221"/>
      <c r="O427" s="221"/>
      <c r="P427" s="221"/>
      <c r="Q427" s="221"/>
      <c r="R427" s="221"/>
      <c r="S427" s="221"/>
      <c r="T427" s="221"/>
      <c r="U427" s="221"/>
      <c r="V427" s="221"/>
      <c r="W427" s="221"/>
      <c r="X427" s="221"/>
    </row>
    <row r="428" spans="5:24" x14ac:dyDescent="0.25">
      <c r="E428" s="221"/>
      <c r="F428" s="221"/>
      <c r="G428" s="221"/>
      <c r="H428" s="221"/>
      <c r="I428" s="221"/>
      <c r="J428" s="221"/>
      <c r="K428" s="221"/>
      <c r="L428" s="221"/>
      <c r="M428" s="221"/>
      <c r="N428" s="221"/>
      <c r="O428" s="221"/>
      <c r="P428" s="221"/>
      <c r="Q428" s="221"/>
      <c r="R428" s="221"/>
      <c r="S428" s="221"/>
      <c r="T428" s="221"/>
      <c r="U428" s="221"/>
      <c r="V428" s="221"/>
      <c r="W428" s="221"/>
      <c r="X428" s="221"/>
    </row>
    <row r="429" spans="5:24" x14ac:dyDescent="0.25">
      <c r="E429" s="221"/>
      <c r="F429" s="221"/>
      <c r="G429" s="221"/>
      <c r="H429" s="221"/>
      <c r="I429" s="221"/>
      <c r="J429" s="221"/>
      <c r="K429" s="221"/>
      <c r="L429" s="221"/>
      <c r="M429" s="221"/>
      <c r="N429" s="221"/>
      <c r="O429" s="221"/>
      <c r="P429" s="221"/>
      <c r="Q429" s="221"/>
      <c r="R429" s="221"/>
      <c r="S429" s="221"/>
      <c r="T429" s="221"/>
      <c r="U429" s="221"/>
      <c r="V429" s="221"/>
      <c r="W429" s="221"/>
      <c r="X429" s="221"/>
    </row>
    <row r="430" spans="5:24" x14ac:dyDescent="0.25">
      <c r="E430" s="221"/>
      <c r="F430" s="221"/>
      <c r="G430" s="221"/>
      <c r="H430" s="221"/>
      <c r="I430" s="221"/>
      <c r="J430" s="221"/>
      <c r="K430" s="221"/>
      <c r="L430" s="221"/>
      <c r="M430" s="221"/>
      <c r="N430" s="221"/>
      <c r="O430" s="221"/>
      <c r="P430" s="221"/>
      <c r="Q430" s="221"/>
      <c r="R430" s="221"/>
      <c r="S430" s="221"/>
      <c r="T430" s="221"/>
      <c r="U430" s="221"/>
      <c r="V430" s="221"/>
      <c r="W430" s="221"/>
      <c r="X430" s="221"/>
    </row>
    <row r="431" spans="5:24" x14ac:dyDescent="0.25">
      <c r="E431" s="221"/>
      <c r="F431" s="221"/>
      <c r="G431" s="221"/>
      <c r="H431" s="221"/>
      <c r="I431" s="221"/>
      <c r="J431" s="221"/>
      <c r="K431" s="221"/>
      <c r="L431" s="221"/>
      <c r="M431" s="221"/>
      <c r="N431" s="221"/>
      <c r="O431" s="221"/>
      <c r="P431" s="221"/>
      <c r="Q431" s="221"/>
      <c r="R431" s="221"/>
      <c r="S431" s="221"/>
      <c r="T431" s="221"/>
      <c r="U431" s="221"/>
      <c r="V431" s="221"/>
      <c r="W431" s="221"/>
      <c r="X431" s="221"/>
    </row>
    <row r="432" spans="5:24" x14ac:dyDescent="0.25">
      <c r="E432" s="221"/>
      <c r="F432" s="221"/>
      <c r="G432" s="221"/>
      <c r="H432" s="221"/>
      <c r="I432" s="221"/>
      <c r="J432" s="221"/>
      <c r="K432" s="221"/>
      <c r="L432" s="221"/>
      <c r="M432" s="221"/>
      <c r="N432" s="221"/>
      <c r="O432" s="221"/>
      <c r="P432" s="221"/>
      <c r="Q432" s="221"/>
      <c r="R432" s="221"/>
      <c r="S432" s="221"/>
      <c r="T432" s="221"/>
      <c r="U432" s="221"/>
      <c r="V432" s="221"/>
      <c r="W432" s="221"/>
      <c r="X432" s="221"/>
    </row>
    <row r="433" spans="5:24" x14ac:dyDescent="0.25">
      <c r="E433" s="221"/>
      <c r="F433" s="221"/>
      <c r="G433" s="221"/>
      <c r="H433" s="221"/>
      <c r="I433" s="221"/>
      <c r="J433" s="221"/>
      <c r="K433" s="221"/>
      <c r="L433" s="221"/>
      <c r="M433" s="221"/>
      <c r="N433" s="221"/>
      <c r="O433" s="221"/>
      <c r="P433" s="221"/>
      <c r="Q433" s="221"/>
      <c r="R433" s="221"/>
      <c r="S433" s="221"/>
      <c r="T433" s="221"/>
      <c r="U433" s="221"/>
      <c r="V433" s="221"/>
      <c r="W433" s="221"/>
      <c r="X433" s="221"/>
    </row>
    <row r="434" spans="5:24" x14ac:dyDescent="0.25">
      <c r="E434" s="221"/>
      <c r="F434" s="221"/>
      <c r="G434" s="221"/>
      <c r="H434" s="221"/>
      <c r="I434" s="221"/>
      <c r="J434" s="221"/>
      <c r="K434" s="221"/>
      <c r="L434" s="221"/>
      <c r="M434" s="221"/>
      <c r="N434" s="221"/>
      <c r="O434" s="221"/>
      <c r="P434" s="221"/>
      <c r="Q434" s="221"/>
      <c r="R434" s="221"/>
      <c r="S434" s="221"/>
      <c r="T434" s="221"/>
      <c r="U434" s="221"/>
      <c r="V434" s="221"/>
      <c r="W434" s="221"/>
      <c r="X434" s="221"/>
    </row>
    <row r="435" spans="5:24" x14ac:dyDescent="0.25">
      <c r="E435" s="221"/>
      <c r="F435" s="221"/>
      <c r="G435" s="221"/>
      <c r="H435" s="221"/>
      <c r="I435" s="221"/>
      <c r="J435" s="221"/>
      <c r="K435" s="221"/>
      <c r="L435" s="221"/>
      <c r="M435" s="221"/>
      <c r="N435" s="221"/>
      <c r="O435" s="221"/>
      <c r="P435" s="221"/>
      <c r="Q435" s="221"/>
      <c r="R435" s="221"/>
      <c r="S435" s="221"/>
      <c r="T435" s="221"/>
      <c r="U435" s="221"/>
      <c r="V435" s="221"/>
      <c r="W435" s="221"/>
      <c r="X435" s="221"/>
    </row>
    <row r="436" spans="5:24" x14ac:dyDescent="0.25">
      <c r="E436" s="221"/>
      <c r="F436" s="221"/>
      <c r="G436" s="221"/>
      <c r="H436" s="221"/>
      <c r="I436" s="221"/>
      <c r="J436" s="221"/>
      <c r="K436" s="221"/>
      <c r="L436" s="221"/>
      <c r="M436" s="221"/>
      <c r="N436" s="221"/>
      <c r="O436" s="221"/>
      <c r="P436" s="221"/>
      <c r="Q436" s="221"/>
      <c r="R436" s="221"/>
      <c r="S436" s="221"/>
      <c r="T436" s="221"/>
      <c r="U436" s="221"/>
      <c r="V436" s="221"/>
      <c r="W436" s="221"/>
      <c r="X436" s="221"/>
    </row>
    <row r="437" spans="5:24" x14ac:dyDescent="0.25">
      <c r="E437" s="221"/>
      <c r="F437" s="221"/>
      <c r="G437" s="221"/>
      <c r="H437" s="221"/>
      <c r="I437" s="221"/>
      <c r="J437" s="221"/>
      <c r="K437" s="221"/>
      <c r="L437" s="221"/>
      <c r="M437" s="221"/>
      <c r="N437" s="221"/>
      <c r="O437" s="221"/>
      <c r="P437" s="221"/>
      <c r="Q437" s="221"/>
      <c r="R437" s="221"/>
      <c r="S437" s="221"/>
      <c r="T437" s="221"/>
      <c r="U437" s="221"/>
      <c r="V437" s="221"/>
      <c r="W437" s="221"/>
      <c r="X437" s="221"/>
    </row>
    <row r="438" spans="5:24" x14ac:dyDescent="0.25">
      <c r="E438" s="221"/>
      <c r="F438" s="221"/>
      <c r="G438" s="221"/>
      <c r="H438" s="221"/>
      <c r="I438" s="221"/>
      <c r="J438" s="221"/>
      <c r="K438" s="221"/>
      <c r="L438" s="221"/>
      <c r="M438" s="221"/>
      <c r="N438" s="221"/>
      <c r="O438" s="221"/>
      <c r="P438" s="221"/>
      <c r="Q438" s="221"/>
      <c r="R438" s="221"/>
      <c r="S438" s="221"/>
      <c r="T438" s="221"/>
      <c r="U438" s="221"/>
      <c r="V438" s="221"/>
      <c r="W438" s="221"/>
      <c r="X438" s="221"/>
    </row>
    <row r="439" spans="5:24" x14ac:dyDescent="0.25">
      <c r="E439" s="221"/>
      <c r="F439" s="221"/>
      <c r="G439" s="221"/>
      <c r="H439" s="221"/>
      <c r="I439" s="221"/>
      <c r="J439" s="221"/>
      <c r="K439" s="221"/>
      <c r="L439" s="221"/>
      <c r="M439" s="221"/>
      <c r="N439" s="221"/>
      <c r="O439" s="221"/>
      <c r="P439" s="221"/>
      <c r="Q439" s="221"/>
      <c r="R439" s="221"/>
      <c r="S439" s="221"/>
      <c r="T439" s="221"/>
      <c r="U439" s="221"/>
      <c r="V439" s="221"/>
      <c r="W439" s="221"/>
      <c r="X439" s="221"/>
    </row>
    <row r="440" spans="5:24" x14ac:dyDescent="0.25">
      <c r="E440" s="221"/>
      <c r="F440" s="221"/>
      <c r="G440" s="221"/>
      <c r="H440" s="221"/>
      <c r="I440" s="221"/>
      <c r="J440" s="221"/>
      <c r="K440" s="221"/>
      <c r="L440" s="221"/>
      <c r="M440" s="221"/>
      <c r="N440" s="221"/>
      <c r="O440" s="221"/>
      <c r="P440" s="221"/>
      <c r="Q440" s="221"/>
      <c r="R440" s="221"/>
      <c r="S440" s="221"/>
      <c r="T440" s="221"/>
      <c r="U440" s="221"/>
      <c r="V440" s="221"/>
      <c r="W440" s="221"/>
      <c r="X440" s="221"/>
    </row>
    <row r="441" spans="5:24" x14ac:dyDescent="0.25">
      <c r="E441" s="221"/>
      <c r="F441" s="221"/>
      <c r="G441" s="221"/>
      <c r="H441" s="221"/>
      <c r="I441" s="221"/>
      <c r="J441" s="221"/>
      <c r="K441" s="221"/>
      <c r="L441" s="221"/>
      <c r="M441" s="221"/>
      <c r="N441" s="221"/>
      <c r="O441" s="221"/>
      <c r="P441" s="221"/>
      <c r="Q441" s="221"/>
      <c r="R441" s="221"/>
      <c r="S441" s="221"/>
      <c r="T441" s="221"/>
      <c r="U441" s="221"/>
      <c r="V441" s="221"/>
      <c r="W441" s="221"/>
      <c r="X441" s="221"/>
    </row>
    <row r="442" spans="5:24" x14ac:dyDescent="0.25">
      <c r="E442" s="221"/>
      <c r="F442" s="221"/>
      <c r="G442" s="221"/>
      <c r="H442" s="221"/>
      <c r="I442" s="221"/>
      <c r="J442" s="221"/>
      <c r="K442" s="221"/>
      <c r="L442" s="221"/>
      <c r="M442" s="221"/>
      <c r="N442" s="221"/>
      <c r="O442" s="221"/>
      <c r="P442" s="221"/>
      <c r="Q442" s="221"/>
      <c r="R442" s="221"/>
      <c r="S442" s="221"/>
      <c r="T442" s="221"/>
      <c r="U442" s="221"/>
      <c r="V442" s="221"/>
      <c r="W442" s="221"/>
      <c r="X442" s="221"/>
    </row>
    <row r="443" spans="5:24" x14ac:dyDescent="0.25">
      <c r="E443" s="221"/>
      <c r="F443" s="221"/>
      <c r="G443" s="221"/>
      <c r="H443" s="221"/>
      <c r="I443" s="221"/>
      <c r="J443" s="221"/>
      <c r="K443" s="221"/>
      <c r="L443" s="221"/>
      <c r="M443" s="221"/>
      <c r="N443" s="221"/>
      <c r="O443" s="221"/>
      <c r="P443" s="221"/>
      <c r="Q443" s="221"/>
      <c r="R443" s="221"/>
      <c r="S443" s="221"/>
      <c r="T443" s="221"/>
      <c r="U443" s="221"/>
      <c r="V443" s="221"/>
      <c r="W443" s="221"/>
      <c r="X443" s="221"/>
    </row>
    <row r="444" spans="5:24" x14ac:dyDescent="0.25">
      <c r="E444" s="221"/>
      <c r="F444" s="221"/>
      <c r="G444" s="221"/>
      <c r="H444" s="221"/>
      <c r="I444" s="221"/>
      <c r="J444" s="221"/>
      <c r="K444" s="221"/>
      <c r="L444" s="221"/>
      <c r="M444" s="221"/>
      <c r="N444" s="221"/>
      <c r="O444" s="221"/>
      <c r="P444" s="221"/>
      <c r="Q444" s="221"/>
      <c r="R444" s="221"/>
      <c r="S444" s="221"/>
      <c r="T444" s="221"/>
      <c r="U444" s="221"/>
      <c r="V444" s="221"/>
      <c r="W444" s="221"/>
      <c r="X444" s="221"/>
    </row>
    <row r="445" spans="5:24" x14ac:dyDescent="0.25">
      <c r="E445" s="221"/>
      <c r="F445" s="221"/>
      <c r="G445" s="221"/>
      <c r="H445" s="221"/>
      <c r="I445" s="221"/>
      <c r="J445" s="221"/>
      <c r="K445" s="221"/>
      <c r="L445" s="221"/>
      <c r="M445" s="221"/>
      <c r="N445" s="221"/>
      <c r="O445" s="221"/>
      <c r="P445" s="221"/>
      <c r="Q445" s="221"/>
      <c r="R445" s="221"/>
      <c r="S445" s="221"/>
      <c r="T445" s="221"/>
      <c r="U445" s="221"/>
      <c r="V445" s="221"/>
      <c r="W445" s="221"/>
      <c r="X445" s="221"/>
    </row>
    <row r="446" spans="5:24" x14ac:dyDescent="0.25">
      <c r="E446" s="221"/>
      <c r="F446" s="221"/>
      <c r="G446" s="221"/>
      <c r="H446" s="221"/>
      <c r="I446" s="221"/>
      <c r="J446" s="221"/>
      <c r="K446" s="221"/>
      <c r="L446" s="221"/>
      <c r="M446" s="221"/>
      <c r="N446" s="221"/>
      <c r="O446" s="221"/>
      <c r="P446" s="221"/>
      <c r="Q446" s="221"/>
      <c r="R446" s="221"/>
      <c r="S446" s="221"/>
      <c r="T446" s="221"/>
      <c r="U446" s="221"/>
      <c r="V446" s="221"/>
      <c r="W446" s="221"/>
      <c r="X446" s="221"/>
    </row>
    <row r="447" spans="5:24" x14ac:dyDescent="0.25">
      <c r="E447" s="221"/>
      <c r="F447" s="221"/>
      <c r="G447" s="221"/>
      <c r="H447" s="221"/>
      <c r="I447" s="221"/>
      <c r="J447" s="221"/>
      <c r="K447" s="221"/>
      <c r="L447" s="221"/>
      <c r="M447" s="221"/>
      <c r="N447" s="221"/>
      <c r="O447" s="221"/>
      <c r="P447" s="221"/>
      <c r="Q447" s="221"/>
      <c r="R447" s="221"/>
      <c r="S447" s="221"/>
      <c r="T447" s="221"/>
      <c r="U447" s="221"/>
      <c r="V447" s="221"/>
      <c r="W447" s="221"/>
      <c r="X447" s="221"/>
    </row>
    <row r="448" spans="5:24" x14ac:dyDescent="0.25">
      <c r="E448" s="221"/>
      <c r="F448" s="221"/>
      <c r="G448" s="221"/>
      <c r="H448" s="221"/>
      <c r="I448" s="221"/>
      <c r="J448" s="221"/>
      <c r="K448" s="221"/>
      <c r="L448" s="221"/>
      <c r="M448" s="221"/>
      <c r="N448" s="221"/>
      <c r="O448" s="221"/>
      <c r="P448" s="221"/>
      <c r="Q448" s="221"/>
      <c r="R448" s="221"/>
      <c r="S448" s="221"/>
      <c r="T448" s="221"/>
      <c r="U448" s="221"/>
      <c r="V448" s="221"/>
      <c r="W448" s="221"/>
      <c r="X448" s="221"/>
    </row>
    <row r="449" spans="5:24" x14ac:dyDescent="0.25">
      <c r="E449" s="221"/>
      <c r="F449" s="221"/>
      <c r="G449" s="221"/>
      <c r="H449" s="221"/>
      <c r="I449" s="221"/>
      <c r="J449" s="221"/>
      <c r="K449" s="221"/>
      <c r="L449" s="221"/>
      <c r="M449" s="221"/>
      <c r="N449" s="221"/>
      <c r="O449" s="221"/>
      <c r="P449" s="221"/>
      <c r="Q449" s="221"/>
      <c r="R449" s="221"/>
      <c r="S449" s="221"/>
      <c r="T449" s="221"/>
      <c r="U449" s="221"/>
      <c r="V449" s="221"/>
      <c r="W449" s="221"/>
      <c r="X449" s="221"/>
    </row>
    <row r="450" spans="5:24" x14ac:dyDescent="0.25">
      <c r="E450" s="221"/>
      <c r="F450" s="221"/>
      <c r="G450" s="221"/>
      <c r="H450" s="221"/>
      <c r="I450" s="221"/>
      <c r="J450" s="221"/>
      <c r="K450" s="221"/>
      <c r="L450" s="221"/>
      <c r="M450" s="221"/>
      <c r="N450" s="221"/>
      <c r="O450" s="221"/>
      <c r="P450" s="221"/>
      <c r="Q450" s="221"/>
      <c r="R450" s="221"/>
      <c r="S450" s="221"/>
      <c r="T450" s="221"/>
      <c r="U450" s="221"/>
      <c r="V450" s="221"/>
      <c r="W450" s="221"/>
      <c r="X450" s="221"/>
    </row>
    <row r="451" spans="5:24" x14ac:dyDescent="0.25">
      <c r="E451" s="221"/>
      <c r="F451" s="221"/>
      <c r="G451" s="221"/>
      <c r="H451" s="221"/>
      <c r="I451" s="221"/>
      <c r="J451" s="221"/>
      <c r="K451" s="221"/>
      <c r="L451" s="221"/>
      <c r="M451" s="221"/>
      <c r="N451" s="221"/>
      <c r="O451" s="221"/>
      <c r="P451" s="221"/>
      <c r="Q451" s="221"/>
      <c r="R451" s="221"/>
      <c r="S451" s="221"/>
      <c r="T451" s="221"/>
      <c r="U451" s="221"/>
      <c r="V451" s="221"/>
      <c r="W451" s="221"/>
      <c r="X451" s="221"/>
    </row>
    <row r="452" spans="5:24" x14ac:dyDescent="0.25">
      <c r="E452" s="221"/>
      <c r="F452" s="221"/>
      <c r="G452" s="221"/>
      <c r="H452" s="221"/>
      <c r="I452" s="221"/>
      <c r="J452" s="221"/>
      <c r="K452" s="221"/>
      <c r="L452" s="221"/>
      <c r="M452" s="221"/>
      <c r="N452" s="221"/>
      <c r="O452" s="221"/>
      <c r="P452" s="221"/>
      <c r="Q452" s="221"/>
      <c r="R452" s="221"/>
      <c r="S452" s="221"/>
      <c r="T452" s="221"/>
      <c r="U452" s="221"/>
      <c r="V452" s="221"/>
      <c r="W452" s="221"/>
      <c r="X452" s="221"/>
    </row>
    <row r="453" spans="5:24" x14ac:dyDescent="0.25">
      <c r="E453" s="221"/>
      <c r="F453" s="221"/>
      <c r="G453" s="221"/>
      <c r="H453" s="221"/>
      <c r="I453" s="221"/>
      <c r="J453" s="221"/>
      <c r="K453" s="221"/>
      <c r="L453" s="221"/>
      <c r="M453" s="221"/>
      <c r="N453" s="221"/>
      <c r="O453" s="221"/>
      <c r="P453" s="221"/>
      <c r="Q453" s="221"/>
      <c r="R453" s="221"/>
      <c r="S453" s="221"/>
      <c r="T453" s="221"/>
      <c r="U453" s="221"/>
      <c r="V453" s="221"/>
      <c r="W453" s="221"/>
      <c r="X453" s="221"/>
    </row>
    <row r="454" spans="5:24" x14ac:dyDescent="0.25">
      <c r="E454" s="221"/>
      <c r="F454" s="221"/>
      <c r="G454" s="221"/>
      <c r="H454" s="221"/>
      <c r="I454" s="221"/>
      <c r="J454" s="221"/>
      <c r="K454" s="221"/>
      <c r="L454" s="221"/>
      <c r="M454" s="221"/>
      <c r="N454" s="221"/>
      <c r="O454" s="221"/>
      <c r="P454" s="221"/>
      <c r="Q454" s="221"/>
      <c r="R454" s="221"/>
      <c r="S454" s="221"/>
      <c r="T454" s="221"/>
      <c r="U454" s="221"/>
      <c r="V454" s="221"/>
      <c r="W454" s="221"/>
      <c r="X454" s="221"/>
    </row>
    <row r="455" spans="5:24" x14ac:dyDescent="0.25">
      <c r="E455" s="221"/>
      <c r="F455" s="221"/>
      <c r="G455" s="221"/>
      <c r="H455" s="221"/>
      <c r="I455" s="221"/>
      <c r="J455" s="221"/>
      <c r="K455" s="221"/>
      <c r="L455" s="221"/>
      <c r="M455" s="221"/>
      <c r="N455" s="221"/>
      <c r="O455" s="221"/>
      <c r="P455" s="221"/>
      <c r="Q455" s="221"/>
      <c r="R455" s="221"/>
      <c r="S455" s="221"/>
      <c r="T455" s="221"/>
      <c r="U455" s="221"/>
      <c r="V455" s="221"/>
      <c r="W455" s="221"/>
      <c r="X455" s="221"/>
    </row>
    <row r="456" spans="5:24" x14ac:dyDescent="0.25">
      <c r="E456" s="221"/>
      <c r="F456" s="221"/>
      <c r="G456" s="221"/>
      <c r="H456" s="221"/>
      <c r="I456" s="221"/>
      <c r="J456" s="221"/>
      <c r="K456" s="221"/>
      <c r="L456" s="221"/>
      <c r="M456" s="221"/>
      <c r="N456" s="221"/>
      <c r="O456" s="221"/>
      <c r="P456" s="221"/>
      <c r="Q456" s="221"/>
      <c r="R456" s="221"/>
      <c r="S456" s="221"/>
      <c r="T456" s="221"/>
      <c r="U456" s="221"/>
      <c r="V456" s="221"/>
      <c r="W456" s="221"/>
      <c r="X456" s="221"/>
    </row>
    <row r="457" spans="5:24" x14ac:dyDescent="0.25">
      <c r="E457" s="221"/>
      <c r="F457" s="221"/>
      <c r="G457" s="221"/>
      <c r="H457" s="221"/>
      <c r="I457" s="221"/>
      <c r="J457" s="221"/>
      <c r="K457" s="221"/>
      <c r="L457" s="221"/>
      <c r="M457" s="221"/>
      <c r="N457" s="221"/>
      <c r="O457" s="221"/>
      <c r="P457" s="221"/>
      <c r="Q457" s="221"/>
      <c r="R457" s="221"/>
      <c r="S457" s="221"/>
      <c r="T457" s="221"/>
      <c r="U457" s="221"/>
      <c r="V457" s="221"/>
      <c r="W457" s="221"/>
      <c r="X457" s="221"/>
    </row>
    <row r="458" spans="5:24" x14ac:dyDescent="0.25">
      <c r="E458" s="221"/>
      <c r="F458" s="221"/>
      <c r="G458" s="221"/>
      <c r="H458" s="221"/>
      <c r="I458" s="221"/>
      <c r="J458" s="221"/>
      <c r="K458" s="221"/>
      <c r="L458" s="221"/>
      <c r="M458" s="221"/>
      <c r="N458" s="221"/>
      <c r="O458" s="221"/>
      <c r="P458" s="221"/>
      <c r="Q458" s="221"/>
      <c r="R458" s="221"/>
      <c r="S458" s="221"/>
      <c r="T458" s="221"/>
      <c r="U458" s="221"/>
      <c r="V458" s="221"/>
      <c r="W458" s="221"/>
      <c r="X458" s="221"/>
    </row>
    <row r="459" spans="5:24" x14ac:dyDescent="0.25">
      <c r="E459" s="221"/>
      <c r="F459" s="221"/>
      <c r="G459" s="221"/>
      <c r="H459" s="221"/>
      <c r="I459" s="221"/>
      <c r="J459" s="221"/>
      <c r="K459" s="221"/>
      <c r="L459" s="221"/>
      <c r="M459" s="221"/>
      <c r="N459" s="221"/>
      <c r="O459" s="221"/>
      <c r="P459" s="221"/>
      <c r="Q459" s="221"/>
      <c r="R459" s="221"/>
      <c r="S459" s="221"/>
      <c r="T459" s="221"/>
      <c r="U459" s="221"/>
      <c r="V459" s="221"/>
      <c r="W459" s="221"/>
      <c r="X459" s="221"/>
    </row>
    <row r="460" spans="5:24" x14ac:dyDescent="0.25">
      <c r="E460" s="221"/>
      <c r="F460" s="221"/>
      <c r="G460" s="221"/>
      <c r="H460" s="221"/>
      <c r="I460" s="221"/>
      <c r="J460" s="221"/>
      <c r="K460" s="221"/>
      <c r="L460" s="221"/>
      <c r="M460" s="221"/>
      <c r="N460" s="221"/>
      <c r="O460" s="221"/>
      <c r="P460" s="221"/>
      <c r="Q460" s="221"/>
      <c r="R460" s="221"/>
      <c r="S460" s="221"/>
      <c r="T460" s="221"/>
      <c r="U460" s="221"/>
      <c r="V460" s="221"/>
      <c r="W460" s="221"/>
      <c r="X460" s="221"/>
    </row>
    <row r="461" spans="5:24" x14ac:dyDescent="0.25">
      <c r="E461" s="221"/>
      <c r="F461" s="221"/>
      <c r="G461" s="221"/>
      <c r="H461" s="221"/>
      <c r="I461" s="221"/>
      <c r="J461" s="221"/>
      <c r="K461" s="221"/>
      <c r="L461" s="221"/>
      <c r="M461" s="221"/>
      <c r="N461" s="221"/>
      <c r="O461" s="221"/>
      <c r="P461" s="221"/>
      <c r="Q461" s="221"/>
      <c r="R461" s="221"/>
      <c r="S461" s="221"/>
      <c r="T461" s="221"/>
      <c r="U461" s="221"/>
      <c r="V461" s="221"/>
      <c r="W461" s="221"/>
      <c r="X461" s="221"/>
    </row>
    <row r="462" spans="5:24" x14ac:dyDescent="0.25">
      <c r="E462" s="221"/>
      <c r="F462" s="221"/>
      <c r="G462" s="221"/>
      <c r="H462" s="221"/>
      <c r="I462" s="221"/>
      <c r="J462" s="221"/>
      <c r="K462" s="221"/>
      <c r="L462" s="221"/>
      <c r="M462" s="221"/>
      <c r="N462" s="221"/>
      <c r="O462" s="221"/>
      <c r="P462" s="221"/>
      <c r="Q462" s="221"/>
      <c r="R462" s="221"/>
      <c r="S462" s="221"/>
      <c r="T462" s="221"/>
      <c r="U462" s="221"/>
      <c r="V462" s="221"/>
      <c r="W462" s="221"/>
      <c r="X462" s="221"/>
    </row>
    <row r="463" spans="5:24" x14ac:dyDescent="0.25">
      <c r="E463" s="221"/>
      <c r="F463" s="221"/>
      <c r="G463" s="221"/>
      <c r="H463" s="221"/>
      <c r="I463" s="221"/>
      <c r="J463" s="221"/>
      <c r="K463" s="221"/>
      <c r="L463" s="221"/>
      <c r="M463" s="221"/>
      <c r="N463" s="221"/>
      <c r="O463" s="221"/>
      <c r="P463" s="221"/>
      <c r="Q463" s="221"/>
      <c r="R463" s="221"/>
      <c r="S463" s="221"/>
      <c r="T463" s="221"/>
      <c r="U463" s="221"/>
      <c r="V463" s="221"/>
      <c r="W463" s="221"/>
      <c r="X463" s="221"/>
    </row>
    <row r="464" spans="5:24" x14ac:dyDescent="0.25">
      <c r="E464" s="221"/>
      <c r="F464" s="221"/>
      <c r="G464" s="221"/>
      <c r="H464" s="221"/>
      <c r="I464" s="221"/>
      <c r="J464" s="221"/>
      <c r="K464" s="221"/>
      <c r="L464" s="221"/>
      <c r="M464" s="221"/>
      <c r="N464" s="221"/>
      <c r="O464" s="221"/>
      <c r="P464" s="221"/>
      <c r="Q464" s="221"/>
      <c r="R464" s="221"/>
      <c r="S464" s="221"/>
      <c r="T464" s="221"/>
      <c r="U464" s="221"/>
      <c r="V464" s="221"/>
      <c r="W464" s="221"/>
      <c r="X464" s="221"/>
    </row>
    <row r="465" spans="5:24" x14ac:dyDescent="0.25">
      <c r="E465" s="221"/>
      <c r="F465" s="221"/>
      <c r="G465" s="221"/>
      <c r="H465" s="221"/>
      <c r="I465" s="221"/>
      <c r="J465" s="221"/>
      <c r="K465" s="221"/>
      <c r="L465" s="221"/>
      <c r="M465" s="221"/>
      <c r="N465" s="221"/>
      <c r="O465" s="221"/>
      <c r="P465" s="221"/>
      <c r="Q465" s="221"/>
      <c r="R465" s="221"/>
      <c r="S465" s="221"/>
      <c r="T465" s="221"/>
      <c r="U465" s="221"/>
      <c r="V465" s="221"/>
      <c r="W465" s="221"/>
      <c r="X465" s="221"/>
    </row>
    <row r="466" spans="5:24" x14ac:dyDescent="0.25">
      <c r="E466" s="221"/>
      <c r="F466" s="221"/>
      <c r="G466" s="221"/>
      <c r="H466" s="221"/>
      <c r="I466" s="221"/>
      <c r="J466" s="221"/>
      <c r="K466" s="221"/>
      <c r="L466" s="221"/>
      <c r="M466" s="221"/>
      <c r="N466" s="221"/>
      <c r="O466" s="221"/>
      <c r="P466" s="221"/>
      <c r="Q466" s="221"/>
      <c r="R466" s="221"/>
      <c r="S466" s="221"/>
      <c r="T466" s="221"/>
      <c r="U466" s="221"/>
      <c r="V466" s="221"/>
      <c r="W466" s="221"/>
      <c r="X466" s="221"/>
    </row>
    <row r="467" spans="5:24" x14ac:dyDescent="0.25">
      <c r="E467" s="221"/>
      <c r="F467" s="221"/>
      <c r="G467" s="221"/>
      <c r="H467" s="221"/>
      <c r="I467" s="221"/>
      <c r="J467" s="221"/>
      <c r="K467" s="221"/>
      <c r="L467" s="221"/>
      <c r="M467" s="221"/>
      <c r="N467" s="221"/>
      <c r="O467" s="221"/>
      <c r="P467" s="221"/>
      <c r="Q467" s="221"/>
      <c r="R467" s="221"/>
      <c r="S467" s="221"/>
      <c r="T467" s="221"/>
      <c r="U467" s="221"/>
      <c r="V467" s="221"/>
      <c r="W467" s="221"/>
      <c r="X467" s="221"/>
    </row>
    <row r="468" spans="5:24" x14ac:dyDescent="0.25">
      <c r="E468" s="221"/>
      <c r="F468" s="221"/>
      <c r="G468" s="221"/>
      <c r="H468" s="221"/>
      <c r="I468" s="221"/>
      <c r="J468" s="221"/>
      <c r="K468" s="221"/>
      <c r="L468" s="221"/>
      <c r="M468" s="221"/>
      <c r="N468" s="221"/>
      <c r="O468" s="221"/>
      <c r="P468" s="221"/>
      <c r="Q468" s="221"/>
      <c r="R468" s="221"/>
      <c r="S468" s="221"/>
      <c r="T468" s="221"/>
      <c r="U468" s="221"/>
      <c r="V468" s="221"/>
      <c r="W468" s="221"/>
      <c r="X468" s="221"/>
    </row>
    <row r="469" spans="5:24" x14ac:dyDescent="0.25">
      <c r="E469" s="221"/>
      <c r="F469" s="221"/>
      <c r="G469" s="221"/>
      <c r="H469" s="221"/>
      <c r="I469" s="221"/>
      <c r="J469" s="221"/>
      <c r="K469" s="221"/>
      <c r="L469" s="221"/>
      <c r="M469" s="221"/>
      <c r="N469" s="221"/>
      <c r="O469" s="221"/>
      <c r="P469" s="221"/>
      <c r="Q469" s="221"/>
      <c r="R469" s="221"/>
      <c r="S469" s="221"/>
      <c r="T469" s="221"/>
      <c r="U469" s="221"/>
      <c r="V469" s="221"/>
      <c r="W469" s="221"/>
      <c r="X469" s="221"/>
    </row>
    <row r="470" spans="5:24" x14ac:dyDescent="0.25">
      <c r="E470" s="221"/>
      <c r="F470" s="221"/>
      <c r="G470" s="221"/>
      <c r="H470" s="221"/>
      <c r="I470" s="221"/>
      <c r="J470" s="221"/>
      <c r="K470" s="221"/>
      <c r="L470" s="221"/>
      <c r="M470" s="221"/>
      <c r="N470" s="221"/>
      <c r="O470" s="221"/>
      <c r="P470" s="221"/>
      <c r="Q470" s="221"/>
      <c r="R470" s="221"/>
      <c r="S470" s="221"/>
      <c r="T470" s="221"/>
      <c r="U470" s="221"/>
      <c r="V470" s="221"/>
      <c r="W470" s="221"/>
      <c r="X470" s="221"/>
    </row>
    <row r="471" spans="5:24" x14ac:dyDescent="0.25">
      <c r="E471" s="221"/>
      <c r="F471" s="221"/>
      <c r="G471" s="221"/>
      <c r="H471" s="221"/>
      <c r="I471" s="221"/>
      <c r="J471" s="221"/>
      <c r="K471" s="221"/>
      <c r="L471" s="221"/>
      <c r="M471" s="221"/>
      <c r="N471" s="221"/>
      <c r="O471" s="221"/>
      <c r="P471" s="221"/>
      <c r="Q471" s="221"/>
      <c r="R471" s="221"/>
      <c r="S471" s="221"/>
      <c r="T471" s="221"/>
      <c r="U471" s="221"/>
      <c r="V471" s="221"/>
      <c r="W471" s="221"/>
      <c r="X471" s="221"/>
    </row>
    <row r="472" spans="5:24" x14ac:dyDescent="0.25">
      <c r="E472" s="221"/>
      <c r="F472" s="221"/>
      <c r="G472" s="221"/>
      <c r="H472" s="221"/>
      <c r="I472" s="221"/>
      <c r="J472" s="221"/>
      <c r="K472" s="221"/>
      <c r="L472" s="221"/>
      <c r="M472" s="221"/>
      <c r="N472" s="221"/>
      <c r="O472" s="221"/>
      <c r="P472" s="221"/>
      <c r="Q472" s="221"/>
      <c r="R472" s="221"/>
      <c r="S472" s="221"/>
      <c r="T472" s="221"/>
      <c r="U472" s="221"/>
      <c r="V472" s="221"/>
      <c r="W472" s="221"/>
      <c r="X472" s="221"/>
    </row>
    <row r="473" spans="5:24" x14ac:dyDescent="0.25">
      <c r="E473" s="221"/>
      <c r="F473" s="221"/>
      <c r="G473" s="221"/>
      <c r="H473" s="221"/>
      <c r="I473" s="221"/>
      <c r="J473" s="221"/>
      <c r="K473" s="221"/>
      <c r="L473" s="221"/>
      <c r="M473" s="221"/>
      <c r="N473" s="221"/>
      <c r="O473" s="221"/>
      <c r="P473" s="221"/>
      <c r="Q473" s="221"/>
      <c r="R473" s="221"/>
      <c r="S473" s="221"/>
      <c r="T473" s="221"/>
      <c r="U473" s="221"/>
      <c r="V473" s="221"/>
      <c r="W473" s="221"/>
      <c r="X473" s="221"/>
    </row>
    <row r="474" spans="5:24" x14ac:dyDescent="0.25">
      <c r="E474" s="221"/>
      <c r="F474" s="221"/>
      <c r="G474" s="221"/>
      <c r="H474" s="221"/>
      <c r="I474" s="221"/>
      <c r="J474" s="221"/>
      <c r="K474" s="221"/>
      <c r="L474" s="221"/>
      <c r="M474" s="221"/>
      <c r="N474" s="221"/>
      <c r="O474" s="221"/>
      <c r="P474" s="221"/>
      <c r="Q474" s="221"/>
      <c r="R474" s="221"/>
      <c r="S474" s="221"/>
      <c r="T474" s="221"/>
      <c r="U474" s="221"/>
      <c r="V474" s="221"/>
      <c r="W474" s="221"/>
      <c r="X474" s="221"/>
    </row>
    <row r="475" spans="5:24" x14ac:dyDescent="0.25">
      <c r="E475" s="221"/>
      <c r="F475" s="221"/>
      <c r="G475" s="221"/>
      <c r="H475" s="221"/>
      <c r="I475" s="221"/>
      <c r="J475" s="221"/>
      <c r="K475" s="221"/>
      <c r="L475" s="221"/>
      <c r="M475" s="221"/>
      <c r="N475" s="221"/>
      <c r="O475" s="221"/>
      <c r="P475" s="221"/>
      <c r="Q475" s="221"/>
      <c r="R475" s="221"/>
      <c r="S475" s="221"/>
      <c r="T475" s="221"/>
      <c r="U475" s="221"/>
      <c r="V475" s="221"/>
      <c r="W475" s="221"/>
      <c r="X475" s="221"/>
    </row>
    <row r="476" spans="5:24" x14ac:dyDescent="0.25">
      <c r="E476" s="221"/>
      <c r="F476" s="221"/>
      <c r="G476" s="221"/>
      <c r="H476" s="221"/>
      <c r="I476" s="221"/>
      <c r="J476" s="221"/>
      <c r="K476" s="221"/>
      <c r="L476" s="221"/>
      <c r="M476" s="221"/>
      <c r="N476" s="221"/>
      <c r="O476" s="221"/>
      <c r="P476" s="221"/>
      <c r="Q476" s="221"/>
      <c r="R476" s="221"/>
      <c r="S476" s="221"/>
      <c r="T476" s="221"/>
      <c r="U476" s="221"/>
      <c r="V476" s="221"/>
      <c r="W476" s="221"/>
      <c r="X476" s="221"/>
    </row>
    <row r="477" spans="5:24" x14ac:dyDescent="0.25">
      <c r="E477" s="221"/>
      <c r="F477" s="221"/>
      <c r="G477" s="221"/>
      <c r="H477" s="221"/>
      <c r="I477" s="221"/>
      <c r="J477" s="221"/>
      <c r="K477" s="221"/>
      <c r="L477" s="221"/>
      <c r="M477" s="221"/>
      <c r="N477" s="221"/>
      <c r="O477" s="221"/>
      <c r="P477" s="221"/>
      <c r="Q477" s="221"/>
      <c r="R477" s="221"/>
      <c r="S477" s="221"/>
      <c r="T477" s="221"/>
      <c r="U477" s="221"/>
      <c r="V477" s="221"/>
      <c r="W477" s="221"/>
      <c r="X477" s="221"/>
    </row>
    <row r="478" spans="5:24" x14ac:dyDescent="0.25">
      <c r="E478" s="221"/>
      <c r="F478" s="221"/>
      <c r="G478" s="221"/>
      <c r="H478" s="221"/>
      <c r="I478" s="221"/>
      <c r="J478" s="221"/>
      <c r="K478" s="221"/>
      <c r="L478" s="221"/>
      <c r="M478" s="221"/>
      <c r="N478" s="221"/>
      <c r="O478" s="221"/>
      <c r="P478" s="221"/>
      <c r="Q478" s="221"/>
      <c r="R478" s="221"/>
      <c r="S478" s="221"/>
      <c r="T478" s="221"/>
      <c r="U478" s="221"/>
      <c r="V478" s="221"/>
      <c r="W478" s="221"/>
      <c r="X478" s="221"/>
    </row>
    <row r="479" spans="5:24" x14ac:dyDescent="0.25">
      <c r="E479" s="221"/>
      <c r="F479" s="221"/>
      <c r="G479" s="221"/>
      <c r="H479" s="221"/>
      <c r="I479" s="221"/>
      <c r="J479" s="221"/>
      <c r="K479" s="221"/>
      <c r="L479" s="221"/>
      <c r="M479" s="221"/>
      <c r="N479" s="221"/>
      <c r="O479" s="221"/>
      <c r="P479" s="221"/>
      <c r="Q479" s="221"/>
      <c r="R479" s="221"/>
      <c r="S479" s="221"/>
      <c r="T479" s="221"/>
      <c r="U479" s="221"/>
      <c r="V479" s="221"/>
      <c r="W479" s="221"/>
      <c r="X479" s="221"/>
    </row>
    <row r="480" spans="5:24" x14ac:dyDescent="0.25">
      <c r="E480" s="221"/>
      <c r="F480" s="221"/>
      <c r="G480" s="221"/>
      <c r="H480" s="221"/>
      <c r="I480" s="221"/>
      <c r="J480" s="221"/>
      <c r="K480" s="221"/>
      <c r="L480" s="221"/>
      <c r="M480" s="221"/>
      <c r="N480" s="221"/>
      <c r="O480" s="221"/>
      <c r="P480" s="221"/>
      <c r="Q480" s="221"/>
      <c r="R480" s="221"/>
      <c r="S480" s="221"/>
      <c r="T480" s="221"/>
      <c r="U480" s="221"/>
      <c r="V480" s="221"/>
      <c r="W480" s="221"/>
      <c r="X480" s="221"/>
    </row>
    <row r="481" spans="5:24" x14ac:dyDescent="0.25">
      <c r="E481" s="221"/>
      <c r="F481" s="221"/>
      <c r="G481" s="221"/>
      <c r="H481" s="221"/>
      <c r="I481" s="221"/>
      <c r="J481" s="221"/>
      <c r="K481" s="221"/>
      <c r="L481" s="221"/>
      <c r="M481" s="221"/>
      <c r="N481" s="221"/>
      <c r="O481" s="221"/>
      <c r="P481" s="221"/>
      <c r="Q481" s="221"/>
      <c r="R481" s="221"/>
      <c r="S481" s="221"/>
      <c r="T481" s="221"/>
      <c r="U481" s="221"/>
      <c r="V481" s="221"/>
      <c r="W481" s="221"/>
      <c r="X481" s="221"/>
    </row>
    <row r="482" spans="5:24" x14ac:dyDescent="0.25">
      <c r="E482" s="221"/>
      <c r="F482" s="221"/>
      <c r="G482" s="221"/>
      <c r="H482" s="221"/>
      <c r="I482" s="221"/>
      <c r="J482" s="221"/>
      <c r="K482" s="221"/>
      <c r="L482" s="221"/>
      <c r="M482" s="221"/>
      <c r="N482" s="221"/>
      <c r="O482" s="221"/>
      <c r="P482" s="221"/>
      <c r="Q482" s="221"/>
      <c r="R482" s="221"/>
      <c r="S482" s="221"/>
      <c r="T482" s="221"/>
      <c r="U482" s="221"/>
      <c r="V482" s="221"/>
      <c r="W482" s="221"/>
      <c r="X482" s="221"/>
    </row>
    <row r="483" spans="5:24" x14ac:dyDescent="0.25">
      <c r="E483" s="221"/>
      <c r="F483" s="221"/>
      <c r="G483" s="221"/>
      <c r="H483" s="221"/>
      <c r="I483" s="221"/>
      <c r="J483" s="221"/>
      <c r="K483" s="221"/>
      <c r="L483" s="221"/>
      <c r="M483" s="221"/>
      <c r="N483" s="221"/>
      <c r="O483" s="221"/>
      <c r="P483" s="221"/>
      <c r="Q483" s="221"/>
      <c r="R483" s="221"/>
      <c r="S483" s="221"/>
      <c r="T483" s="221"/>
      <c r="U483" s="221"/>
      <c r="V483" s="221"/>
      <c r="W483" s="221"/>
      <c r="X483" s="221"/>
    </row>
    <row r="484" spans="5:24" x14ac:dyDescent="0.25">
      <c r="E484" s="221"/>
      <c r="F484" s="221"/>
      <c r="G484" s="221"/>
      <c r="H484" s="221"/>
      <c r="I484" s="221"/>
      <c r="J484" s="221"/>
      <c r="K484" s="221"/>
      <c r="L484" s="221"/>
      <c r="M484" s="221"/>
      <c r="N484" s="221"/>
      <c r="O484" s="221"/>
      <c r="P484" s="221"/>
      <c r="Q484" s="221"/>
      <c r="R484" s="221"/>
      <c r="S484" s="221"/>
      <c r="T484" s="221"/>
      <c r="U484" s="221"/>
      <c r="V484" s="221"/>
      <c r="W484" s="221"/>
      <c r="X484" s="221"/>
    </row>
    <row r="485" spans="5:24" x14ac:dyDescent="0.25">
      <c r="E485" s="221"/>
      <c r="F485" s="221"/>
      <c r="G485" s="221"/>
      <c r="H485" s="221"/>
      <c r="I485" s="221"/>
      <c r="J485" s="221"/>
      <c r="K485" s="221"/>
      <c r="L485" s="221"/>
      <c r="M485" s="221"/>
      <c r="N485" s="221"/>
      <c r="O485" s="221"/>
      <c r="P485" s="221"/>
      <c r="Q485" s="221"/>
      <c r="R485" s="221"/>
      <c r="S485" s="221"/>
      <c r="T485" s="221"/>
      <c r="U485" s="221"/>
      <c r="V485" s="221"/>
      <c r="W485" s="221"/>
      <c r="X485" s="221"/>
    </row>
    <row r="486" spans="5:24" x14ac:dyDescent="0.25">
      <c r="E486" s="221"/>
      <c r="F486" s="221"/>
      <c r="G486" s="221"/>
      <c r="H486" s="221"/>
      <c r="I486" s="221"/>
      <c r="J486" s="221"/>
      <c r="K486" s="221"/>
      <c r="L486" s="221"/>
      <c r="M486" s="221"/>
      <c r="N486" s="221"/>
      <c r="O486" s="221"/>
      <c r="P486" s="221"/>
      <c r="Q486" s="221"/>
      <c r="R486" s="221"/>
      <c r="S486" s="221"/>
      <c r="T486" s="221"/>
      <c r="U486" s="221"/>
      <c r="V486" s="221"/>
      <c r="W486" s="221"/>
      <c r="X486" s="221"/>
    </row>
    <row r="487" spans="5:24" x14ac:dyDescent="0.25">
      <c r="E487" s="221"/>
      <c r="F487" s="221"/>
      <c r="G487" s="221"/>
      <c r="H487" s="221"/>
      <c r="I487" s="221"/>
      <c r="J487" s="221"/>
      <c r="K487" s="221"/>
      <c r="L487" s="221"/>
      <c r="M487" s="221"/>
      <c r="N487" s="221"/>
      <c r="O487" s="221"/>
      <c r="P487" s="221"/>
      <c r="Q487" s="221"/>
      <c r="R487" s="221"/>
      <c r="S487" s="221"/>
      <c r="T487" s="221"/>
      <c r="U487" s="221"/>
      <c r="V487" s="221"/>
      <c r="W487" s="221"/>
      <c r="X487" s="221"/>
    </row>
    <row r="488" spans="5:24" x14ac:dyDescent="0.25">
      <c r="E488" s="221"/>
      <c r="F488" s="221"/>
      <c r="G488" s="221"/>
      <c r="H488" s="221"/>
      <c r="I488" s="221"/>
      <c r="J488" s="221"/>
      <c r="K488" s="221"/>
      <c r="L488" s="221"/>
      <c r="M488" s="221"/>
      <c r="N488" s="221"/>
      <c r="O488" s="221"/>
      <c r="P488" s="221"/>
      <c r="Q488" s="221"/>
      <c r="R488" s="221"/>
      <c r="S488" s="221"/>
      <c r="T488" s="221"/>
      <c r="U488" s="221"/>
      <c r="V488" s="221"/>
      <c r="W488" s="221"/>
      <c r="X488" s="221"/>
    </row>
    <row r="489" spans="5:24" x14ac:dyDescent="0.25">
      <c r="E489" s="221"/>
      <c r="F489" s="221"/>
      <c r="G489" s="221"/>
      <c r="H489" s="221"/>
      <c r="I489" s="221"/>
      <c r="J489" s="221"/>
      <c r="K489" s="221"/>
      <c r="L489" s="221"/>
      <c r="M489" s="221"/>
      <c r="N489" s="221"/>
      <c r="O489" s="221"/>
      <c r="P489" s="221"/>
      <c r="Q489" s="221"/>
      <c r="R489" s="221"/>
      <c r="S489" s="221"/>
      <c r="T489" s="221"/>
      <c r="U489" s="221"/>
      <c r="V489" s="221"/>
      <c r="W489" s="221"/>
      <c r="X489" s="221"/>
    </row>
    <row r="490" spans="5:24" x14ac:dyDescent="0.25">
      <c r="E490" s="221"/>
      <c r="F490" s="221"/>
      <c r="G490" s="221"/>
      <c r="H490" s="221"/>
      <c r="I490" s="221"/>
      <c r="J490" s="221"/>
      <c r="K490" s="221"/>
      <c r="L490" s="221"/>
      <c r="M490" s="221"/>
      <c r="N490" s="221"/>
      <c r="O490" s="221"/>
      <c r="P490" s="221"/>
      <c r="Q490" s="221"/>
      <c r="R490" s="221"/>
      <c r="S490" s="221"/>
      <c r="T490" s="221"/>
      <c r="U490" s="221"/>
      <c r="V490" s="221"/>
      <c r="W490" s="221"/>
      <c r="X490" s="221"/>
    </row>
    <row r="491" spans="5:24" x14ac:dyDescent="0.25">
      <c r="E491" s="221"/>
      <c r="F491" s="221"/>
      <c r="G491" s="221"/>
      <c r="H491" s="221"/>
      <c r="I491" s="221"/>
      <c r="J491" s="221"/>
      <c r="K491" s="221"/>
      <c r="L491" s="221"/>
      <c r="M491" s="221"/>
      <c r="N491" s="221"/>
      <c r="O491" s="221"/>
      <c r="P491" s="221"/>
      <c r="Q491" s="221"/>
      <c r="R491" s="221"/>
      <c r="S491" s="221"/>
      <c r="T491" s="221"/>
      <c r="U491" s="221"/>
      <c r="V491" s="221"/>
      <c r="W491" s="221"/>
      <c r="X491" s="221"/>
    </row>
    <row r="492" spans="5:24" x14ac:dyDescent="0.25">
      <c r="E492" s="221"/>
      <c r="F492" s="221"/>
      <c r="G492" s="221"/>
      <c r="H492" s="221"/>
      <c r="I492" s="221"/>
      <c r="J492" s="221"/>
      <c r="K492" s="221"/>
      <c r="L492" s="221"/>
      <c r="M492" s="221"/>
      <c r="N492" s="221"/>
      <c r="O492" s="221"/>
      <c r="P492" s="221"/>
      <c r="Q492" s="221"/>
      <c r="R492" s="221"/>
      <c r="S492" s="221"/>
      <c r="T492" s="221"/>
      <c r="U492" s="221"/>
      <c r="V492" s="221"/>
      <c r="W492" s="221"/>
      <c r="X492" s="221"/>
    </row>
    <row r="493" spans="5:24" x14ac:dyDescent="0.25">
      <c r="E493" s="221"/>
      <c r="F493" s="221"/>
      <c r="G493" s="221"/>
      <c r="H493" s="221"/>
      <c r="I493" s="221"/>
      <c r="J493" s="221"/>
      <c r="K493" s="221"/>
      <c r="L493" s="221"/>
      <c r="M493" s="221"/>
      <c r="N493" s="221"/>
      <c r="O493" s="221"/>
      <c r="P493" s="221"/>
      <c r="Q493" s="221"/>
      <c r="R493" s="221"/>
      <c r="S493" s="221"/>
      <c r="T493" s="221"/>
      <c r="U493" s="221"/>
      <c r="V493" s="221"/>
      <c r="W493" s="221"/>
      <c r="X493" s="221"/>
    </row>
    <row r="494" spans="5:24" x14ac:dyDescent="0.25">
      <c r="E494" s="221"/>
      <c r="F494" s="221"/>
      <c r="G494" s="221"/>
      <c r="H494" s="221"/>
      <c r="I494" s="221"/>
      <c r="J494" s="221"/>
      <c r="K494" s="221"/>
      <c r="L494" s="221"/>
      <c r="M494" s="221"/>
      <c r="N494" s="221"/>
      <c r="O494" s="221"/>
      <c r="P494" s="221"/>
      <c r="Q494" s="221"/>
      <c r="R494" s="221"/>
      <c r="S494" s="221"/>
      <c r="T494" s="221"/>
      <c r="U494" s="221"/>
      <c r="V494" s="221"/>
      <c r="W494" s="221"/>
      <c r="X494" s="221"/>
    </row>
    <row r="495" spans="5:24" x14ac:dyDescent="0.25">
      <c r="E495" s="221"/>
      <c r="F495" s="221"/>
      <c r="G495" s="221"/>
      <c r="H495" s="221"/>
      <c r="I495" s="221"/>
      <c r="J495" s="221"/>
      <c r="K495" s="221"/>
      <c r="L495" s="221"/>
      <c r="M495" s="221"/>
      <c r="N495" s="221"/>
      <c r="O495" s="221"/>
      <c r="P495" s="221"/>
      <c r="Q495" s="221"/>
      <c r="R495" s="221"/>
      <c r="S495" s="221"/>
      <c r="T495" s="221"/>
      <c r="U495" s="221"/>
      <c r="V495" s="221"/>
      <c r="W495" s="221"/>
      <c r="X495" s="221"/>
    </row>
    <row r="496" spans="5:24" x14ac:dyDescent="0.25">
      <c r="E496" s="221"/>
      <c r="F496" s="221"/>
      <c r="G496" s="221"/>
      <c r="H496" s="221"/>
      <c r="I496" s="221"/>
      <c r="J496" s="221"/>
      <c r="K496" s="221"/>
      <c r="L496" s="221"/>
      <c r="M496" s="221"/>
      <c r="N496" s="221"/>
      <c r="O496" s="221"/>
      <c r="P496" s="221"/>
      <c r="Q496" s="221"/>
      <c r="R496" s="221"/>
      <c r="S496" s="221"/>
      <c r="T496" s="221"/>
      <c r="U496" s="221"/>
      <c r="V496" s="221"/>
      <c r="W496" s="221"/>
      <c r="X496" s="221"/>
    </row>
    <row r="497" spans="5:24" x14ac:dyDescent="0.25">
      <c r="E497" s="221"/>
      <c r="F497" s="221"/>
      <c r="G497" s="221"/>
      <c r="H497" s="221"/>
      <c r="I497" s="221"/>
      <c r="J497" s="221"/>
      <c r="K497" s="221"/>
      <c r="L497" s="221"/>
      <c r="M497" s="221"/>
      <c r="N497" s="221"/>
      <c r="O497" s="221"/>
      <c r="P497" s="221"/>
      <c r="Q497" s="221"/>
      <c r="R497" s="221"/>
      <c r="S497" s="221"/>
      <c r="T497" s="221"/>
      <c r="U497" s="221"/>
      <c r="V497" s="221"/>
      <c r="W497" s="221"/>
      <c r="X497" s="221"/>
    </row>
    <row r="498" spans="5:24" x14ac:dyDescent="0.25">
      <c r="E498" s="221"/>
      <c r="F498" s="221"/>
      <c r="G498" s="221"/>
      <c r="H498" s="221"/>
      <c r="I498" s="221"/>
      <c r="J498" s="221"/>
      <c r="K498" s="221"/>
      <c r="L498" s="221"/>
      <c r="M498" s="221"/>
      <c r="N498" s="221"/>
      <c r="O498" s="221"/>
      <c r="P498" s="221"/>
      <c r="Q498" s="221"/>
      <c r="R498" s="221"/>
      <c r="S498" s="221"/>
      <c r="T498" s="221"/>
      <c r="U498" s="221"/>
      <c r="V498" s="221"/>
      <c r="W498" s="221"/>
      <c r="X498" s="221"/>
    </row>
    <row r="499" spans="5:24" x14ac:dyDescent="0.25">
      <c r="E499" s="221"/>
      <c r="F499" s="221"/>
      <c r="G499" s="221"/>
      <c r="H499" s="221"/>
      <c r="I499" s="221"/>
      <c r="J499" s="221"/>
      <c r="K499" s="221"/>
      <c r="L499" s="221"/>
      <c r="M499" s="221"/>
      <c r="N499" s="221"/>
      <c r="O499" s="221"/>
      <c r="P499" s="221"/>
      <c r="Q499" s="221"/>
      <c r="R499" s="221"/>
      <c r="S499" s="221"/>
      <c r="T499" s="221"/>
      <c r="U499" s="221"/>
      <c r="V499" s="221"/>
      <c r="W499" s="221"/>
      <c r="X499" s="221"/>
    </row>
    <row r="500" spans="5:24" x14ac:dyDescent="0.25">
      <c r="E500" s="221"/>
      <c r="F500" s="221"/>
      <c r="G500" s="221"/>
      <c r="H500" s="221"/>
      <c r="I500" s="221"/>
      <c r="J500" s="221"/>
      <c r="K500" s="221"/>
      <c r="L500" s="221"/>
      <c r="M500" s="221"/>
      <c r="N500" s="221"/>
      <c r="O500" s="221"/>
      <c r="P500" s="221"/>
      <c r="Q500" s="221"/>
      <c r="R500" s="221"/>
      <c r="S500" s="221"/>
      <c r="T500" s="221"/>
      <c r="U500" s="221"/>
      <c r="V500" s="221"/>
      <c r="W500" s="221"/>
      <c r="X500" s="221"/>
    </row>
    <row r="501" spans="5:24" x14ac:dyDescent="0.25">
      <c r="E501" s="221"/>
      <c r="F501" s="221"/>
      <c r="G501" s="221"/>
      <c r="H501" s="221"/>
      <c r="I501" s="221"/>
      <c r="J501" s="221"/>
      <c r="K501" s="221"/>
      <c r="L501" s="221"/>
      <c r="M501" s="221"/>
      <c r="N501" s="221"/>
      <c r="O501" s="221"/>
      <c r="P501" s="221"/>
      <c r="Q501" s="221"/>
      <c r="R501" s="221"/>
      <c r="S501" s="221"/>
      <c r="T501" s="221"/>
      <c r="U501" s="221"/>
      <c r="V501" s="221"/>
      <c r="W501" s="221"/>
      <c r="X501" s="221"/>
    </row>
    <row r="502" spans="5:24" x14ac:dyDescent="0.25">
      <c r="E502" s="221"/>
      <c r="F502" s="221"/>
      <c r="G502" s="221"/>
      <c r="H502" s="221"/>
      <c r="I502" s="221"/>
      <c r="J502" s="221"/>
      <c r="K502" s="221"/>
      <c r="L502" s="221"/>
      <c r="M502" s="221"/>
      <c r="N502" s="221"/>
      <c r="O502" s="221"/>
      <c r="P502" s="221"/>
      <c r="Q502" s="221"/>
      <c r="R502" s="221"/>
      <c r="S502" s="221"/>
      <c r="T502" s="221"/>
      <c r="U502" s="221"/>
      <c r="V502" s="221"/>
      <c r="W502" s="221"/>
      <c r="X502" s="221"/>
    </row>
    <row r="503" spans="5:24" x14ac:dyDescent="0.25">
      <c r="E503" s="221"/>
      <c r="F503" s="221"/>
      <c r="G503" s="221"/>
      <c r="H503" s="221"/>
      <c r="I503" s="221"/>
      <c r="J503" s="221"/>
      <c r="K503" s="221"/>
      <c r="L503" s="221"/>
      <c r="M503" s="221"/>
      <c r="N503" s="221"/>
      <c r="O503" s="221"/>
      <c r="P503" s="221"/>
      <c r="Q503" s="221"/>
      <c r="R503" s="221"/>
      <c r="S503" s="221"/>
      <c r="T503" s="221"/>
      <c r="U503" s="221"/>
      <c r="V503" s="221"/>
      <c r="W503" s="221"/>
      <c r="X503" s="221"/>
    </row>
    <row r="504" spans="5:24" x14ac:dyDescent="0.25">
      <c r="E504" s="221"/>
      <c r="F504" s="221"/>
      <c r="G504" s="221"/>
      <c r="H504" s="221"/>
      <c r="I504" s="221"/>
      <c r="J504" s="221"/>
      <c r="K504" s="221"/>
      <c r="L504" s="221"/>
      <c r="M504" s="221"/>
      <c r="N504" s="221"/>
      <c r="O504" s="221"/>
      <c r="P504" s="221"/>
      <c r="Q504" s="221"/>
      <c r="R504" s="221"/>
      <c r="S504" s="221"/>
      <c r="T504" s="221"/>
      <c r="U504" s="221"/>
      <c r="V504" s="221"/>
      <c r="W504" s="221"/>
      <c r="X504" s="221"/>
    </row>
    <row r="505" spans="5:24" x14ac:dyDescent="0.25">
      <c r="E505" s="221"/>
      <c r="F505" s="221"/>
      <c r="G505" s="221"/>
      <c r="H505" s="221"/>
      <c r="I505" s="221"/>
      <c r="J505" s="221"/>
      <c r="K505" s="221"/>
      <c r="L505" s="221"/>
      <c r="M505" s="221"/>
      <c r="N505" s="221"/>
      <c r="O505" s="221"/>
      <c r="P505" s="221"/>
      <c r="Q505" s="221"/>
      <c r="R505" s="221"/>
      <c r="S505" s="221"/>
      <c r="T505" s="221"/>
      <c r="U505" s="221"/>
      <c r="V505" s="221"/>
      <c r="W505" s="221"/>
      <c r="X505" s="221"/>
    </row>
    <row r="506" spans="5:24" x14ac:dyDescent="0.25">
      <c r="E506" s="221"/>
      <c r="F506" s="221"/>
      <c r="G506" s="221"/>
      <c r="H506" s="221"/>
      <c r="I506" s="221"/>
      <c r="J506" s="221"/>
      <c r="K506" s="221"/>
      <c r="L506" s="221"/>
      <c r="M506" s="221"/>
      <c r="N506" s="221"/>
      <c r="O506" s="221"/>
      <c r="P506" s="221"/>
      <c r="Q506" s="221"/>
      <c r="R506" s="221"/>
      <c r="S506" s="221"/>
      <c r="T506" s="221"/>
      <c r="U506" s="221"/>
      <c r="V506" s="221"/>
      <c r="W506" s="221"/>
      <c r="X506" s="221"/>
    </row>
    <row r="507" spans="5:24" x14ac:dyDescent="0.25">
      <c r="E507" s="221"/>
      <c r="F507" s="221"/>
      <c r="G507" s="221"/>
      <c r="H507" s="221"/>
      <c r="I507" s="221"/>
      <c r="J507" s="221"/>
      <c r="K507" s="221"/>
      <c r="L507" s="221"/>
      <c r="M507" s="221"/>
      <c r="N507" s="221"/>
      <c r="O507" s="221"/>
      <c r="P507" s="221"/>
      <c r="Q507" s="221"/>
      <c r="R507" s="221"/>
      <c r="S507" s="221"/>
      <c r="T507" s="221"/>
      <c r="U507" s="221"/>
      <c r="V507" s="221"/>
      <c r="W507" s="221"/>
      <c r="X507" s="221"/>
    </row>
    <row r="508" spans="5:24" x14ac:dyDescent="0.25">
      <c r="E508" s="221"/>
      <c r="F508" s="221"/>
      <c r="G508" s="221"/>
      <c r="H508" s="221"/>
      <c r="I508" s="221"/>
      <c r="J508" s="221"/>
      <c r="K508" s="221"/>
      <c r="L508" s="221"/>
      <c r="M508" s="221"/>
      <c r="N508" s="221"/>
      <c r="O508" s="221"/>
      <c r="P508" s="221"/>
      <c r="Q508" s="221"/>
      <c r="R508" s="221"/>
      <c r="S508" s="221"/>
      <c r="T508" s="221"/>
      <c r="U508" s="221"/>
      <c r="V508" s="221"/>
      <c r="W508" s="221"/>
      <c r="X508" s="221"/>
    </row>
    <row r="509" spans="5:24" x14ac:dyDescent="0.25">
      <c r="E509" s="221"/>
      <c r="F509" s="221"/>
      <c r="G509" s="221"/>
      <c r="H509" s="221"/>
      <c r="I509" s="221"/>
      <c r="J509" s="221"/>
      <c r="K509" s="221"/>
      <c r="L509" s="221"/>
      <c r="M509" s="221"/>
      <c r="N509" s="221"/>
      <c r="O509" s="221"/>
      <c r="P509" s="221"/>
      <c r="Q509" s="221"/>
      <c r="R509" s="221"/>
      <c r="S509" s="221"/>
      <c r="T509" s="221"/>
      <c r="U509" s="221"/>
      <c r="V509" s="221"/>
      <c r="W509" s="221"/>
      <c r="X509" s="221"/>
    </row>
    <row r="510" spans="5:24" x14ac:dyDescent="0.25">
      <c r="E510" s="221"/>
      <c r="F510" s="221"/>
      <c r="G510" s="221"/>
      <c r="H510" s="221"/>
      <c r="I510" s="221"/>
      <c r="J510" s="221"/>
      <c r="K510" s="221"/>
      <c r="L510" s="221"/>
      <c r="M510" s="221"/>
      <c r="N510" s="221"/>
      <c r="O510" s="221"/>
      <c r="P510" s="221"/>
      <c r="Q510" s="221"/>
      <c r="R510" s="221"/>
      <c r="S510" s="221"/>
      <c r="T510" s="221"/>
      <c r="U510" s="221"/>
      <c r="V510" s="221"/>
      <c r="W510" s="221"/>
      <c r="X510" s="221"/>
    </row>
    <row r="511" spans="5:24" x14ac:dyDescent="0.25">
      <c r="E511" s="221"/>
      <c r="F511" s="221"/>
      <c r="G511" s="221"/>
      <c r="H511" s="221"/>
      <c r="I511" s="221"/>
      <c r="J511" s="221"/>
      <c r="K511" s="221"/>
      <c r="L511" s="221"/>
      <c r="M511" s="221"/>
      <c r="N511" s="221"/>
      <c r="O511" s="221"/>
      <c r="P511" s="221"/>
      <c r="Q511" s="221"/>
      <c r="R511" s="221"/>
      <c r="S511" s="221"/>
      <c r="T511" s="221"/>
      <c r="U511" s="221"/>
      <c r="V511" s="221"/>
      <c r="W511" s="221"/>
      <c r="X511" s="221"/>
    </row>
    <row r="512" spans="5:24" x14ac:dyDescent="0.25">
      <c r="E512" s="221"/>
      <c r="F512" s="221"/>
      <c r="G512" s="221"/>
      <c r="H512" s="221"/>
      <c r="I512" s="221"/>
      <c r="J512" s="221"/>
      <c r="K512" s="221"/>
      <c r="L512" s="221"/>
      <c r="M512" s="221"/>
      <c r="N512" s="221"/>
      <c r="O512" s="221"/>
      <c r="P512" s="221"/>
      <c r="Q512" s="221"/>
      <c r="R512" s="221"/>
      <c r="S512" s="221"/>
      <c r="T512" s="221"/>
      <c r="U512" s="221"/>
      <c r="V512" s="221"/>
      <c r="W512" s="221"/>
      <c r="X512" s="221"/>
    </row>
    <row r="513" spans="5:24" x14ac:dyDescent="0.25">
      <c r="E513" s="221"/>
      <c r="F513" s="221"/>
      <c r="G513" s="221"/>
      <c r="H513" s="221"/>
      <c r="I513" s="221"/>
      <c r="J513" s="221"/>
      <c r="K513" s="221"/>
      <c r="L513" s="221"/>
      <c r="M513" s="221"/>
      <c r="N513" s="221"/>
      <c r="O513" s="221"/>
      <c r="P513" s="221"/>
      <c r="Q513" s="221"/>
      <c r="R513" s="221"/>
      <c r="S513" s="221"/>
      <c r="T513" s="221"/>
      <c r="U513" s="221"/>
      <c r="V513" s="221"/>
      <c r="W513" s="221"/>
      <c r="X513" s="221"/>
    </row>
    <row r="514" spans="5:24" x14ac:dyDescent="0.25">
      <c r="E514" s="221"/>
      <c r="F514" s="221"/>
      <c r="G514" s="221"/>
      <c r="H514" s="221"/>
      <c r="I514" s="221"/>
      <c r="J514" s="221"/>
      <c r="K514" s="221"/>
      <c r="L514" s="221"/>
      <c r="M514" s="221"/>
      <c r="N514" s="221"/>
      <c r="O514" s="221"/>
      <c r="P514" s="221"/>
      <c r="Q514" s="221"/>
      <c r="R514" s="221"/>
      <c r="S514" s="221"/>
      <c r="T514" s="221"/>
      <c r="U514" s="221"/>
      <c r="V514" s="221"/>
      <c r="W514" s="221"/>
      <c r="X514" s="221"/>
    </row>
    <row r="515" spans="5:24" x14ac:dyDescent="0.25">
      <c r="E515" s="221"/>
      <c r="F515" s="221"/>
      <c r="G515" s="221"/>
      <c r="H515" s="221"/>
      <c r="I515" s="221"/>
      <c r="J515" s="221"/>
      <c r="K515" s="221"/>
      <c r="L515" s="221"/>
      <c r="M515" s="221"/>
      <c r="N515" s="221"/>
      <c r="O515" s="221"/>
      <c r="P515" s="221"/>
      <c r="Q515" s="221"/>
      <c r="R515" s="221"/>
      <c r="S515" s="221"/>
      <c r="T515" s="221"/>
      <c r="U515" s="221"/>
      <c r="V515" s="221"/>
      <c r="W515" s="221"/>
      <c r="X515" s="221"/>
    </row>
    <row r="516" spans="5:24" x14ac:dyDescent="0.25">
      <c r="E516" s="221"/>
      <c r="F516" s="221"/>
      <c r="G516" s="221"/>
      <c r="H516" s="221"/>
      <c r="I516" s="221"/>
      <c r="J516" s="221"/>
      <c r="K516" s="221"/>
      <c r="L516" s="221"/>
      <c r="M516" s="221"/>
      <c r="N516" s="221"/>
      <c r="O516" s="221"/>
      <c r="P516" s="221"/>
      <c r="Q516" s="221"/>
      <c r="R516" s="221"/>
      <c r="S516" s="221"/>
      <c r="T516" s="221"/>
      <c r="U516" s="221"/>
      <c r="V516" s="221"/>
      <c r="W516" s="221"/>
      <c r="X516" s="221"/>
    </row>
    <row r="517" spans="5:24" x14ac:dyDescent="0.25">
      <c r="E517" s="221"/>
      <c r="F517" s="221"/>
      <c r="G517" s="221"/>
      <c r="H517" s="221"/>
      <c r="I517" s="221"/>
      <c r="J517" s="221"/>
      <c r="K517" s="221"/>
      <c r="L517" s="221"/>
      <c r="M517" s="221"/>
      <c r="N517" s="221"/>
      <c r="O517" s="221"/>
      <c r="P517" s="221"/>
      <c r="Q517" s="221"/>
      <c r="R517" s="221"/>
      <c r="S517" s="221"/>
      <c r="T517" s="221"/>
      <c r="U517" s="221"/>
      <c r="V517" s="221"/>
      <c r="W517" s="221"/>
      <c r="X517" s="221"/>
    </row>
    <row r="518" spans="5:24" x14ac:dyDescent="0.25">
      <c r="E518" s="221"/>
      <c r="F518" s="221"/>
      <c r="G518" s="221"/>
      <c r="H518" s="221"/>
      <c r="I518" s="221"/>
      <c r="J518" s="221"/>
      <c r="K518" s="221"/>
      <c r="L518" s="221"/>
      <c r="M518" s="221"/>
      <c r="N518" s="221"/>
      <c r="O518" s="221"/>
      <c r="P518" s="221"/>
      <c r="Q518" s="221"/>
      <c r="R518" s="221"/>
      <c r="S518" s="221"/>
      <c r="T518" s="221"/>
      <c r="U518" s="221"/>
      <c r="V518" s="221"/>
      <c r="W518" s="221"/>
      <c r="X518" s="221"/>
    </row>
    <row r="519" spans="5:24" x14ac:dyDescent="0.25">
      <c r="E519" s="221"/>
      <c r="F519" s="221"/>
      <c r="G519" s="221"/>
      <c r="H519" s="221"/>
      <c r="I519" s="221"/>
      <c r="J519" s="221"/>
      <c r="K519" s="221"/>
      <c r="L519" s="221"/>
      <c r="M519" s="221"/>
      <c r="N519" s="221"/>
      <c r="O519" s="221"/>
      <c r="P519" s="221"/>
      <c r="Q519" s="221"/>
      <c r="R519" s="221"/>
      <c r="S519" s="221"/>
      <c r="T519" s="221"/>
      <c r="U519" s="221"/>
      <c r="V519" s="221"/>
      <c r="W519" s="221"/>
      <c r="X519" s="221"/>
    </row>
    <row r="520" spans="5:24" x14ac:dyDescent="0.25">
      <c r="E520" s="221"/>
      <c r="F520" s="221"/>
      <c r="G520" s="221"/>
      <c r="H520" s="221"/>
      <c r="I520" s="221"/>
      <c r="J520" s="221"/>
      <c r="K520" s="221"/>
      <c r="L520" s="221"/>
      <c r="M520" s="221"/>
      <c r="N520" s="221"/>
      <c r="O520" s="221"/>
      <c r="P520" s="221"/>
      <c r="Q520" s="221"/>
      <c r="R520" s="221"/>
      <c r="S520" s="221"/>
      <c r="T520" s="221"/>
      <c r="U520" s="221"/>
      <c r="V520" s="221"/>
      <c r="W520" s="221"/>
      <c r="X520" s="221"/>
    </row>
    <row r="521" spans="5:24" x14ac:dyDescent="0.25">
      <c r="E521" s="221"/>
      <c r="F521" s="221"/>
      <c r="G521" s="221"/>
      <c r="H521" s="221"/>
      <c r="I521" s="221"/>
      <c r="J521" s="221"/>
      <c r="K521" s="221"/>
      <c r="L521" s="221"/>
      <c r="M521" s="221"/>
      <c r="N521" s="221"/>
      <c r="O521" s="221"/>
      <c r="P521" s="221"/>
      <c r="Q521" s="221"/>
      <c r="R521" s="221"/>
      <c r="S521" s="221"/>
      <c r="T521" s="221"/>
      <c r="U521" s="221"/>
      <c r="V521" s="221"/>
      <c r="W521" s="221"/>
      <c r="X521" s="221"/>
    </row>
    <row r="522" spans="5:24" x14ac:dyDescent="0.25">
      <c r="E522" s="221"/>
      <c r="F522" s="221"/>
      <c r="G522" s="221"/>
      <c r="H522" s="221"/>
      <c r="I522" s="221"/>
      <c r="J522" s="221"/>
      <c r="K522" s="221"/>
      <c r="L522" s="221"/>
      <c r="M522" s="221"/>
      <c r="N522" s="221"/>
      <c r="O522" s="221"/>
      <c r="P522" s="221"/>
      <c r="Q522" s="221"/>
      <c r="R522" s="221"/>
      <c r="S522" s="221"/>
      <c r="T522" s="221"/>
      <c r="U522" s="221"/>
      <c r="V522" s="221"/>
      <c r="W522" s="221"/>
      <c r="X522" s="221"/>
    </row>
    <row r="523" spans="5:24" x14ac:dyDescent="0.25">
      <c r="E523" s="221"/>
      <c r="F523" s="221"/>
      <c r="G523" s="221"/>
      <c r="H523" s="221"/>
      <c r="I523" s="221"/>
      <c r="J523" s="221"/>
      <c r="K523" s="221"/>
      <c r="L523" s="221"/>
      <c r="M523" s="221"/>
      <c r="N523" s="221"/>
      <c r="O523" s="221"/>
      <c r="P523" s="221"/>
      <c r="Q523" s="221"/>
      <c r="R523" s="221"/>
      <c r="S523" s="221"/>
      <c r="T523" s="221"/>
      <c r="U523" s="221"/>
      <c r="V523" s="221"/>
      <c r="W523" s="221"/>
      <c r="X523" s="221"/>
    </row>
    <row r="524" spans="5:24" x14ac:dyDescent="0.25">
      <c r="E524" s="221"/>
      <c r="F524" s="221"/>
      <c r="G524" s="221"/>
      <c r="H524" s="221"/>
      <c r="I524" s="221"/>
      <c r="J524" s="221"/>
      <c r="K524" s="221"/>
      <c r="L524" s="221"/>
      <c r="M524" s="221"/>
      <c r="N524" s="221"/>
      <c r="O524" s="221"/>
      <c r="P524" s="221"/>
      <c r="Q524" s="221"/>
      <c r="R524" s="221"/>
      <c r="S524" s="221"/>
      <c r="T524" s="221"/>
      <c r="U524" s="221"/>
      <c r="V524" s="221"/>
      <c r="W524" s="221"/>
      <c r="X524" s="221"/>
    </row>
    <row r="525" spans="5:24" x14ac:dyDescent="0.25">
      <c r="E525" s="221"/>
      <c r="F525" s="221"/>
      <c r="G525" s="221"/>
      <c r="H525" s="221"/>
      <c r="I525" s="221"/>
      <c r="J525" s="221"/>
      <c r="K525" s="221"/>
      <c r="L525" s="221"/>
      <c r="M525" s="221"/>
      <c r="N525" s="221"/>
      <c r="O525" s="221"/>
      <c r="P525" s="221"/>
      <c r="Q525" s="221"/>
      <c r="R525" s="221"/>
      <c r="S525" s="221"/>
      <c r="T525" s="221"/>
      <c r="U525" s="221"/>
      <c r="V525" s="221"/>
      <c r="W525" s="221"/>
      <c r="X525" s="221"/>
    </row>
    <row r="526" spans="5:24" x14ac:dyDescent="0.25">
      <c r="E526" s="221"/>
      <c r="F526" s="221"/>
      <c r="G526" s="221"/>
      <c r="H526" s="221"/>
      <c r="I526" s="221"/>
      <c r="J526" s="221"/>
      <c r="K526" s="221"/>
      <c r="L526" s="221"/>
      <c r="M526" s="221"/>
      <c r="N526" s="221"/>
      <c r="O526" s="221"/>
      <c r="P526" s="221"/>
      <c r="Q526" s="221"/>
      <c r="R526" s="221"/>
      <c r="S526" s="221"/>
      <c r="T526" s="221"/>
      <c r="U526" s="221"/>
      <c r="V526" s="221"/>
      <c r="W526" s="221"/>
      <c r="X526" s="221"/>
    </row>
    <row r="527" spans="5:24" x14ac:dyDescent="0.25">
      <c r="E527" s="221"/>
      <c r="F527" s="221"/>
      <c r="G527" s="221"/>
      <c r="H527" s="221"/>
      <c r="I527" s="221"/>
      <c r="J527" s="221"/>
      <c r="K527" s="221"/>
      <c r="L527" s="221"/>
      <c r="M527" s="221"/>
      <c r="N527" s="221"/>
      <c r="O527" s="221"/>
      <c r="P527" s="221"/>
      <c r="Q527" s="221"/>
      <c r="R527" s="221"/>
      <c r="S527" s="221"/>
      <c r="T527" s="221"/>
      <c r="U527" s="221"/>
      <c r="V527" s="221"/>
      <c r="W527" s="221"/>
      <c r="X527" s="221"/>
    </row>
    <row r="528" spans="5:24" x14ac:dyDescent="0.25">
      <c r="E528" s="221"/>
      <c r="F528" s="221"/>
      <c r="G528" s="221"/>
      <c r="H528" s="221"/>
      <c r="I528" s="221"/>
      <c r="J528" s="221"/>
      <c r="K528" s="221"/>
      <c r="L528" s="221"/>
      <c r="M528" s="221"/>
      <c r="N528" s="221"/>
      <c r="O528" s="221"/>
      <c r="P528" s="221"/>
      <c r="Q528" s="221"/>
      <c r="R528" s="221"/>
      <c r="S528" s="221"/>
      <c r="T528" s="221"/>
      <c r="U528" s="221"/>
      <c r="V528" s="221"/>
      <c r="W528" s="221"/>
      <c r="X528" s="221"/>
    </row>
    <row r="529" spans="5:24" x14ac:dyDescent="0.25">
      <c r="E529" s="221"/>
      <c r="F529" s="221"/>
      <c r="G529" s="221"/>
      <c r="H529" s="221"/>
      <c r="I529" s="221"/>
      <c r="J529" s="221"/>
      <c r="K529" s="221"/>
      <c r="L529" s="221"/>
      <c r="M529" s="221"/>
      <c r="N529" s="221"/>
      <c r="O529" s="221"/>
      <c r="P529" s="221"/>
      <c r="Q529" s="221"/>
      <c r="R529" s="221"/>
      <c r="S529" s="221"/>
      <c r="T529" s="221"/>
      <c r="U529" s="221"/>
      <c r="V529" s="221"/>
      <c r="W529" s="221"/>
      <c r="X529" s="221"/>
    </row>
    <row r="530" spans="5:24" x14ac:dyDescent="0.25">
      <c r="E530" s="221"/>
      <c r="F530" s="221"/>
      <c r="G530" s="221"/>
      <c r="H530" s="221"/>
      <c r="I530" s="221"/>
      <c r="J530" s="221"/>
      <c r="K530" s="221"/>
      <c r="L530" s="221"/>
      <c r="M530" s="221"/>
      <c r="N530" s="221"/>
      <c r="O530" s="221"/>
      <c r="P530" s="221"/>
      <c r="Q530" s="221"/>
      <c r="R530" s="221"/>
      <c r="S530" s="221"/>
      <c r="T530" s="221"/>
      <c r="U530" s="221"/>
      <c r="V530" s="221"/>
      <c r="W530" s="221"/>
      <c r="X530" s="221"/>
    </row>
    <row r="531" spans="5:24" x14ac:dyDescent="0.25">
      <c r="E531" s="221"/>
      <c r="F531" s="221"/>
      <c r="G531" s="221"/>
      <c r="H531" s="221"/>
      <c r="I531" s="221"/>
      <c r="J531" s="221"/>
      <c r="K531" s="221"/>
      <c r="L531" s="221"/>
      <c r="M531" s="221"/>
      <c r="N531" s="221"/>
      <c r="O531" s="221"/>
      <c r="P531" s="221"/>
      <c r="Q531" s="221"/>
      <c r="R531" s="221"/>
      <c r="S531" s="221"/>
      <c r="T531" s="221"/>
      <c r="U531" s="221"/>
      <c r="V531" s="221"/>
      <c r="W531" s="221"/>
      <c r="X531" s="221"/>
    </row>
    <row r="532" spans="5:24" x14ac:dyDescent="0.25">
      <c r="E532" s="221"/>
      <c r="F532" s="221"/>
      <c r="G532" s="221"/>
      <c r="H532" s="221"/>
      <c r="I532" s="221"/>
      <c r="J532" s="221"/>
      <c r="K532" s="221"/>
      <c r="L532" s="221"/>
      <c r="M532" s="221"/>
      <c r="N532" s="221"/>
      <c r="O532" s="221"/>
      <c r="P532" s="221"/>
      <c r="Q532" s="221"/>
      <c r="R532" s="221"/>
      <c r="S532" s="221"/>
      <c r="T532" s="221"/>
      <c r="U532" s="221"/>
      <c r="V532" s="221"/>
      <c r="W532" s="221"/>
      <c r="X532" s="221"/>
    </row>
    <row r="533" spans="5:24" x14ac:dyDescent="0.25">
      <c r="E533" s="221"/>
      <c r="F533" s="221"/>
      <c r="G533" s="221"/>
      <c r="H533" s="221"/>
      <c r="I533" s="221"/>
      <c r="J533" s="221"/>
      <c r="K533" s="221"/>
      <c r="L533" s="221"/>
      <c r="M533" s="221"/>
      <c r="N533" s="221"/>
      <c r="O533" s="221"/>
      <c r="P533" s="221"/>
      <c r="Q533" s="221"/>
      <c r="R533" s="221"/>
      <c r="S533" s="221"/>
      <c r="T533" s="221"/>
      <c r="U533" s="221"/>
      <c r="V533" s="221"/>
      <c r="W533" s="221"/>
      <c r="X533" s="221"/>
    </row>
    <row r="534" spans="5:24" x14ac:dyDescent="0.25">
      <c r="E534" s="221"/>
      <c r="F534" s="221"/>
      <c r="G534" s="221"/>
      <c r="H534" s="221"/>
      <c r="I534" s="221"/>
      <c r="J534" s="221"/>
      <c r="K534" s="221"/>
      <c r="L534" s="221"/>
      <c r="M534" s="221"/>
      <c r="N534" s="221"/>
      <c r="O534" s="221"/>
      <c r="P534" s="221"/>
      <c r="Q534" s="221"/>
      <c r="R534" s="221"/>
      <c r="S534" s="221"/>
      <c r="T534" s="221"/>
      <c r="U534" s="221"/>
      <c r="V534" s="221"/>
      <c r="W534" s="221"/>
      <c r="X534" s="221"/>
    </row>
    <row r="535" spans="5:24" x14ac:dyDescent="0.25">
      <c r="E535" s="221"/>
      <c r="F535" s="221"/>
      <c r="G535" s="221"/>
      <c r="H535" s="221"/>
      <c r="I535" s="221"/>
      <c r="J535" s="221"/>
      <c r="K535" s="221"/>
      <c r="L535" s="221"/>
      <c r="M535" s="221"/>
      <c r="N535" s="221"/>
      <c r="O535" s="221"/>
      <c r="P535" s="221"/>
      <c r="Q535" s="221"/>
      <c r="R535" s="221"/>
      <c r="S535" s="221"/>
      <c r="T535" s="221"/>
      <c r="U535" s="221"/>
      <c r="V535" s="221"/>
      <c r="W535" s="221"/>
      <c r="X535" s="221"/>
    </row>
    <row r="536" spans="5:24" x14ac:dyDescent="0.25">
      <c r="E536" s="221"/>
      <c r="F536" s="221"/>
      <c r="G536" s="221"/>
      <c r="H536" s="221"/>
      <c r="I536" s="221"/>
      <c r="J536" s="221"/>
      <c r="K536" s="221"/>
      <c r="L536" s="221"/>
      <c r="M536" s="221"/>
      <c r="N536" s="221"/>
      <c r="O536" s="221"/>
      <c r="P536" s="221"/>
      <c r="Q536" s="221"/>
      <c r="R536" s="221"/>
      <c r="S536" s="221"/>
      <c r="T536" s="221"/>
      <c r="U536" s="221"/>
      <c r="V536" s="221"/>
      <c r="W536" s="221"/>
      <c r="X536" s="221"/>
    </row>
    <row r="537" spans="5:24" x14ac:dyDescent="0.25">
      <c r="E537" s="221"/>
      <c r="F537" s="221"/>
      <c r="G537" s="221"/>
      <c r="H537" s="221"/>
      <c r="I537" s="221"/>
      <c r="J537" s="221"/>
      <c r="K537" s="221"/>
      <c r="L537" s="221"/>
      <c r="M537" s="221"/>
      <c r="N537" s="221"/>
      <c r="O537" s="221"/>
      <c r="P537" s="221"/>
      <c r="Q537" s="221"/>
      <c r="R537" s="221"/>
      <c r="S537" s="221"/>
      <c r="T537" s="221"/>
      <c r="U537" s="221"/>
      <c r="V537" s="221"/>
      <c r="W537" s="221"/>
      <c r="X537" s="221"/>
    </row>
    <row r="538" spans="5:24" x14ac:dyDescent="0.25">
      <c r="E538" s="221"/>
      <c r="F538" s="221"/>
      <c r="G538" s="221"/>
      <c r="H538" s="221"/>
      <c r="I538" s="221"/>
      <c r="J538" s="221"/>
      <c r="K538" s="221"/>
      <c r="L538" s="221"/>
      <c r="M538" s="221"/>
      <c r="N538" s="221"/>
      <c r="O538" s="221"/>
      <c r="P538" s="221"/>
      <c r="Q538" s="221"/>
      <c r="R538" s="221"/>
      <c r="S538" s="221"/>
      <c r="T538" s="221"/>
      <c r="U538" s="221"/>
      <c r="V538" s="221"/>
      <c r="W538" s="221"/>
      <c r="X538" s="221"/>
    </row>
    <row r="539" spans="5:24" x14ac:dyDescent="0.25">
      <c r="E539" s="221"/>
      <c r="F539" s="221"/>
      <c r="G539" s="221"/>
      <c r="H539" s="221"/>
      <c r="I539" s="221"/>
      <c r="J539" s="221"/>
      <c r="K539" s="221"/>
      <c r="L539" s="221"/>
      <c r="M539" s="221"/>
      <c r="N539" s="221"/>
      <c r="O539" s="221"/>
      <c r="P539" s="221"/>
      <c r="Q539" s="221"/>
      <c r="R539" s="221"/>
      <c r="S539" s="221"/>
      <c r="T539" s="221"/>
      <c r="U539" s="221"/>
      <c r="V539" s="221"/>
      <c r="W539" s="221"/>
      <c r="X539" s="221"/>
    </row>
    <row r="540" spans="5:24" x14ac:dyDescent="0.25">
      <c r="E540" s="221"/>
      <c r="F540" s="221"/>
      <c r="G540" s="221"/>
      <c r="H540" s="221"/>
      <c r="I540" s="221"/>
      <c r="J540" s="221"/>
      <c r="K540" s="221"/>
      <c r="L540" s="221"/>
      <c r="M540" s="221"/>
      <c r="N540" s="221"/>
      <c r="O540" s="221"/>
      <c r="P540" s="221"/>
      <c r="Q540" s="221"/>
      <c r="R540" s="221"/>
      <c r="S540" s="221"/>
      <c r="T540" s="221"/>
      <c r="U540" s="221"/>
      <c r="V540" s="221"/>
      <c r="W540" s="221"/>
      <c r="X540" s="221"/>
    </row>
    <row r="541" spans="5:24" x14ac:dyDescent="0.25">
      <c r="E541" s="221"/>
      <c r="F541" s="221"/>
      <c r="G541" s="221"/>
      <c r="H541" s="221"/>
      <c r="I541" s="221"/>
      <c r="J541" s="221"/>
      <c r="K541" s="221"/>
      <c r="L541" s="221"/>
      <c r="M541" s="221"/>
      <c r="N541" s="221"/>
      <c r="O541" s="221"/>
      <c r="P541" s="221"/>
      <c r="Q541" s="221"/>
      <c r="R541" s="221"/>
      <c r="S541" s="221"/>
      <c r="T541" s="221"/>
      <c r="U541" s="221"/>
      <c r="V541" s="221"/>
      <c r="W541" s="221"/>
      <c r="X541" s="221"/>
    </row>
    <row r="542" spans="5:24" x14ac:dyDescent="0.25">
      <c r="E542" s="221"/>
      <c r="F542" s="221"/>
      <c r="G542" s="221"/>
      <c r="H542" s="221"/>
      <c r="I542" s="221"/>
      <c r="J542" s="221"/>
      <c r="K542" s="221"/>
      <c r="L542" s="221"/>
      <c r="M542" s="221"/>
      <c r="N542" s="221"/>
      <c r="O542" s="221"/>
      <c r="P542" s="221"/>
      <c r="Q542" s="221"/>
      <c r="R542" s="221"/>
      <c r="S542" s="221"/>
      <c r="T542" s="221"/>
      <c r="U542" s="221"/>
      <c r="V542" s="221"/>
      <c r="W542" s="221"/>
      <c r="X542" s="221"/>
    </row>
    <row r="543" spans="5:24" x14ac:dyDescent="0.25">
      <c r="E543" s="221"/>
      <c r="F543" s="221"/>
      <c r="G543" s="221"/>
      <c r="H543" s="221"/>
      <c r="I543" s="221"/>
      <c r="J543" s="221"/>
      <c r="K543" s="221"/>
      <c r="L543" s="221"/>
      <c r="M543" s="221"/>
      <c r="N543" s="221"/>
      <c r="O543" s="221"/>
      <c r="P543" s="221"/>
      <c r="Q543" s="221"/>
      <c r="R543" s="221"/>
      <c r="S543" s="221"/>
      <c r="T543" s="221"/>
      <c r="U543" s="221"/>
      <c r="V543" s="221"/>
      <c r="W543" s="221"/>
      <c r="X543" s="221"/>
    </row>
    <row r="544" spans="5:24" x14ac:dyDescent="0.25">
      <c r="E544" s="221"/>
      <c r="F544" s="221"/>
      <c r="G544" s="221"/>
      <c r="H544" s="221"/>
      <c r="I544" s="221"/>
      <c r="J544" s="221"/>
      <c r="K544" s="221"/>
      <c r="L544" s="221"/>
      <c r="M544" s="221"/>
      <c r="N544" s="221"/>
      <c r="O544" s="221"/>
      <c r="P544" s="221"/>
      <c r="Q544" s="221"/>
      <c r="R544" s="221"/>
      <c r="S544" s="221"/>
      <c r="T544" s="221"/>
      <c r="U544" s="221"/>
      <c r="V544" s="221"/>
      <c r="W544" s="221"/>
      <c r="X544" s="221"/>
    </row>
    <row r="545" spans="5:24" x14ac:dyDescent="0.25">
      <c r="E545" s="221"/>
      <c r="F545" s="221"/>
      <c r="G545" s="221"/>
      <c r="H545" s="221"/>
      <c r="I545" s="221"/>
      <c r="J545" s="221"/>
      <c r="K545" s="221"/>
      <c r="L545" s="221"/>
      <c r="M545" s="221"/>
      <c r="N545" s="221"/>
      <c r="O545" s="221"/>
      <c r="P545" s="221"/>
      <c r="Q545" s="221"/>
      <c r="R545" s="221"/>
      <c r="S545" s="221"/>
      <c r="T545" s="221"/>
      <c r="U545" s="221"/>
      <c r="V545" s="221"/>
      <c r="W545" s="221"/>
      <c r="X545" s="221"/>
    </row>
    <row r="546" spans="5:24" x14ac:dyDescent="0.25">
      <c r="E546" s="221"/>
      <c r="F546" s="221"/>
      <c r="G546" s="221"/>
      <c r="H546" s="221"/>
      <c r="I546" s="221"/>
      <c r="J546" s="221"/>
      <c r="K546" s="221"/>
      <c r="L546" s="221"/>
      <c r="M546" s="221"/>
      <c r="N546" s="221"/>
      <c r="O546" s="221"/>
      <c r="P546" s="221"/>
      <c r="Q546" s="221"/>
      <c r="R546" s="221"/>
      <c r="S546" s="221"/>
      <c r="T546" s="221"/>
      <c r="U546" s="221"/>
      <c r="V546" s="221"/>
      <c r="W546" s="221"/>
      <c r="X546" s="221"/>
    </row>
    <row r="547" spans="5:24" x14ac:dyDescent="0.25">
      <c r="E547" s="221"/>
      <c r="F547" s="221"/>
      <c r="G547" s="221"/>
      <c r="H547" s="221"/>
      <c r="I547" s="221"/>
      <c r="J547" s="221"/>
      <c r="K547" s="221"/>
      <c r="L547" s="221"/>
      <c r="M547" s="221"/>
      <c r="N547" s="221"/>
      <c r="O547" s="221"/>
      <c r="P547" s="221"/>
      <c r="Q547" s="221"/>
      <c r="R547" s="221"/>
      <c r="S547" s="221"/>
      <c r="T547" s="221"/>
      <c r="U547" s="221"/>
      <c r="V547" s="221"/>
      <c r="W547" s="221"/>
      <c r="X547" s="221"/>
    </row>
    <row r="548" spans="5:24" x14ac:dyDescent="0.25">
      <c r="E548" s="221"/>
      <c r="F548" s="221"/>
      <c r="G548" s="221"/>
      <c r="H548" s="221"/>
      <c r="I548" s="221"/>
      <c r="J548" s="221"/>
      <c r="K548" s="221"/>
      <c r="L548" s="221"/>
      <c r="M548" s="221"/>
      <c r="N548" s="221"/>
      <c r="O548" s="221"/>
      <c r="P548" s="221"/>
      <c r="Q548" s="221"/>
      <c r="R548" s="221"/>
      <c r="S548" s="221"/>
      <c r="T548" s="221"/>
      <c r="U548" s="221"/>
      <c r="V548" s="221"/>
      <c r="W548" s="221"/>
      <c r="X548" s="221"/>
    </row>
    <row r="549" spans="5:24" x14ac:dyDescent="0.25">
      <c r="E549" s="221"/>
      <c r="F549" s="221"/>
      <c r="G549" s="221"/>
      <c r="H549" s="221"/>
      <c r="I549" s="221"/>
      <c r="J549" s="221"/>
      <c r="K549" s="221"/>
      <c r="L549" s="221"/>
      <c r="M549" s="221"/>
      <c r="N549" s="221"/>
      <c r="O549" s="221"/>
      <c r="P549" s="221"/>
      <c r="Q549" s="221"/>
      <c r="R549" s="221"/>
      <c r="S549" s="221"/>
      <c r="T549" s="221"/>
      <c r="U549" s="221"/>
      <c r="V549" s="221"/>
      <c r="W549" s="221"/>
      <c r="X549" s="221"/>
    </row>
    <row r="550" spans="5:24" x14ac:dyDescent="0.25">
      <c r="E550" s="221"/>
      <c r="F550" s="221"/>
      <c r="G550" s="221"/>
      <c r="H550" s="221"/>
      <c r="I550" s="221"/>
      <c r="J550" s="221"/>
      <c r="K550" s="221"/>
      <c r="L550" s="221"/>
      <c r="M550" s="221"/>
      <c r="N550" s="221"/>
      <c r="O550" s="221"/>
      <c r="P550" s="221"/>
      <c r="Q550" s="221"/>
      <c r="R550" s="221"/>
      <c r="S550" s="221"/>
      <c r="T550" s="221"/>
      <c r="U550" s="221"/>
      <c r="V550" s="221"/>
      <c r="W550" s="221"/>
      <c r="X550" s="221"/>
    </row>
    <row r="551" spans="5:24" x14ac:dyDescent="0.25">
      <c r="E551" s="221"/>
      <c r="F551" s="221"/>
      <c r="G551" s="221"/>
      <c r="H551" s="221"/>
      <c r="I551" s="221"/>
      <c r="J551" s="221"/>
      <c r="K551" s="221"/>
      <c r="L551" s="221"/>
      <c r="M551" s="221"/>
      <c r="N551" s="221"/>
      <c r="O551" s="221"/>
      <c r="P551" s="221"/>
      <c r="Q551" s="221"/>
      <c r="R551" s="221"/>
      <c r="S551" s="221"/>
      <c r="T551" s="221"/>
      <c r="U551" s="221"/>
      <c r="V551" s="221"/>
      <c r="W551" s="221"/>
      <c r="X551" s="221"/>
    </row>
    <row r="552" spans="5:24" x14ac:dyDescent="0.25">
      <c r="E552" s="221"/>
      <c r="F552" s="221"/>
      <c r="G552" s="221"/>
      <c r="H552" s="221"/>
      <c r="I552" s="221"/>
      <c r="J552" s="221"/>
      <c r="K552" s="221"/>
      <c r="L552" s="221"/>
      <c r="M552" s="221"/>
      <c r="N552" s="221"/>
      <c r="O552" s="221"/>
      <c r="P552" s="221"/>
      <c r="Q552" s="221"/>
      <c r="R552" s="221"/>
      <c r="S552" s="221"/>
      <c r="T552" s="221"/>
      <c r="U552" s="221"/>
      <c r="V552" s="221"/>
      <c r="W552" s="221"/>
      <c r="X552" s="221"/>
    </row>
    <row r="553" spans="5:24" x14ac:dyDescent="0.25">
      <c r="E553" s="221"/>
      <c r="F553" s="221"/>
      <c r="G553" s="221"/>
      <c r="H553" s="221"/>
      <c r="I553" s="221"/>
      <c r="J553" s="221"/>
      <c r="K553" s="221"/>
      <c r="L553" s="221"/>
      <c r="M553" s="221"/>
      <c r="N553" s="221"/>
      <c r="O553" s="221"/>
      <c r="P553" s="221"/>
      <c r="Q553" s="221"/>
      <c r="R553" s="221"/>
      <c r="S553" s="221"/>
      <c r="T553" s="221"/>
      <c r="U553" s="221"/>
      <c r="V553" s="221"/>
      <c r="W553" s="221"/>
      <c r="X553" s="221"/>
    </row>
    <row r="554" spans="5:24" x14ac:dyDescent="0.25">
      <c r="E554" s="221"/>
      <c r="F554" s="221"/>
      <c r="G554" s="221"/>
      <c r="H554" s="221"/>
      <c r="I554" s="221"/>
      <c r="J554" s="221"/>
      <c r="K554" s="221"/>
      <c r="L554" s="221"/>
      <c r="M554" s="221"/>
      <c r="N554" s="221"/>
      <c r="O554" s="221"/>
      <c r="P554" s="221"/>
      <c r="Q554" s="221"/>
      <c r="R554" s="221"/>
      <c r="S554" s="221"/>
      <c r="T554" s="221"/>
      <c r="U554" s="221"/>
      <c r="V554" s="221"/>
      <c r="W554" s="221"/>
      <c r="X554" s="221"/>
    </row>
    <row r="555" spans="5:24" x14ac:dyDescent="0.25">
      <c r="E555" s="221"/>
      <c r="F555" s="221"/>
      <c r="G555" s="221"/>
      <c r="H555" s="221"/>
      <c r="I555" s="221"/>
      <c r="J555" s="221"/>
      <c r="K555" s="221"/>
      <c r="L555" s="221"/>
      <c r="M555" s="221"/>
      <c r="N555" s="221"/>
      <c r="O555" s="221"/>
      <c r="P555" s="221"/>
      <c r="Q555" s="221"/>
      <c r="R555" s="221"/>
      <c r="S555" s="221"/>
      <c r="T555" s="221"/>
      <c r="U555" s="221"/>
      <c r="V555" s="221"/>
      <c r="W555" s="221"/>
      <c r="X555" s="221"/>
    </row>
    <row r="556" spans="5:24" x14ac:dyDescent="0.25">
      <c r="E556" s="221"/>
      <c r="F556" s="221"/>
      <c r="G556" s="221"/>
      <c r="H556" s="221"/>
      <c r="I556" s="221"/>
      <c r="J556" s="221"/>
      <c r="K556" s="221"/>
      <c r="L556" s="221"/>
      <c r="M556" s="221"/>
      <c r="N556" s="221"/>
      <c r="O556" s="221"/>
      <c r="P556" s="221"/>
      <c r="Q556" s="221"/>
      <c r="R556" s="221"/>
      <c r="S556" s="221"/>
      <c r="T556" s="221"/>
      <c r="U556" s="221"/>
      <c r="V556" s="221"/>
      <c r="W556" s="221"/>
      <c r="X556" s="221"/>
    </row>
    <row r="557" spans="5:24" x14ac:dyDescent="0.25">
      <c r="E557" s="221"/>
      <c r="F557" s="221"/>
      <c r="G557" s="221"/>
      <c r="H557" s="221"/>
      <c r="I557" s="221"/>
      <c r="J557" s="221"/>
      <c r="K557" s="221"/>
      <c r="L557" s="221"/>
      <c r="M557" s="221"/>
      <c r="N557" s="221"/>
      <c r="O557" s="221"/>
      <c r="P557" s="221"/>
      <c r="Q557" s="221"/>
      <c r="R557" s="221"/>
      <c r="S557" s="221"/>
      <c r="T557" s="221"/>
      <c r="U557" s="221"/>
      <c r="V557" s="221"/>
      <c r="W557" s="221"/>
      <c r="X557" s="221"/>
    </row>
    <row r="558" spans="5:24" x14ac:dyDescent="0.25">
      <c r="E558" s="221"/>
      <c r="F558" s="221"/>
      <c r="G558" s="221"/>
      <c r="H558" s="221"/>
      <c r="I558" s="221"/>
      <c r="J558" s="221"/>
      <c r="K558" s="221"/>
      <c r="L558" s="221"/>
      <c r="M558" s="221"/>
      <c r="N558" s="221"/>
      <c r="O558" s="221"/>
      <c r="P558" s="221"/>
      <c r="Q558" s="221"/>
      <c r="R558" s="221"/>
      <c r="S558" s="221"/>
      <c r="T558" s="221"/>
      <c r="U558" s="221"/>
      <c r="V558" s="221"/>
      <c r="W558" s="221"/>
      <c r="X558" s="221"/>
    </row>
    <row r="559" spans="5:24" x14ac:dyDescent="0.25">
      <c r="E559" s="221"/>
      <c r="F559" s="221"/>
      <c r="G559" s="221"/>
      <c r="H559" s="221"/>
      <c r="I559" s="221"/>
      <c r="J559" s="221"/>
      <c r="K559" s="221"/>
      <c r="L559" s="221"/>
      <c r="M559" s="221"/>
      <c r="N559" s="221"/>
      <c r="O559" s="221"/>
      <c r="P559" s="221"/>
      <c r="Q559" s="221"/>
      <c r="R559" s="221"/>
      <c r="S559" s="221"/>
      <c r="T559" s="221"/>
      <c r="U559" s="221"/>
      <c r="V559" s="221"/>
      <c r="W559" s="221"/>
      <c r="X559" s="221"/>
    </row>
    <row r="560" spans="5:24" x14ac:dyDescent="0.25">
      <c r="E560" s="221"/>
      <c r="F560" s="221"/>
      <c r="G560" s="221"/>
      <c r="H560" s="221"/>
      <c r="I560" s="221"/>
      <c r="J560" s="221"/>
      <c r="K560" s="221"/>
      <c r="L560" s="221"/>
      <c r="M560" s="221"/>
      <c r="N560" s="221"/>
      <c r="O560" s="221"/>
      <c r="P560" s="221"/>
      <c r="Q560" s="221"/>
      <c r="R560" s="221"/>
      <c r="S560" s="221"/>
      <c r="T560" s="221"/>
      <c r="U560" s="221"/>
      <c r="V560" s="221"/>
      <c r="W560" s="221"/>
      <c r="X560" s="221"/>
    </row>
    <row r="561" spans="5:24" x14ac:dyDescent="0.25">
      <c r="E561" s="221"/>
      <c r="F561" s="221"/>
      <c r="G561" s="221"/>
      <c r="H561" s="221"/>
      <c r="I561" s="221"/>
      <c r="J561" s="221"/>
      <c r="K561" s="221"/>
      <c r="L561" s="221"/>
      <c r="M561" s="221"/>
      <c r="N561" s="221"/>
      <c r="O561" s="221"/>
      <c r="P561" s="221"/>
      <c r="Q561" s="221"/>
      <c r="R561" s="221"/>
      <c r="S561" s="221"/>
      <c r="T561" s="221"/>
      <c r="U561" s="221"/>
      <c r="V561" s="221"/>
      <c r="W561" s="221"/>
      <c r="X561" s="221"/>
    </row>
    <row r="562" spans="5:24" x14ac:dyDescent="0.25">
      <c r="E562" s="221"/>
      <c r="F562" s="221"/>
      <c r="G562" s="221"/>
      <c r="H562" s="221"/>
      <c r="I562" s="221"/>
      <c r="J562" s="221"/>
      <c r="K562" s="221"/>
      <c r="L562" s="221"/>
      <c r="M562" s="221"/>
      <c r="N562" s="221"/>
      <c r="O562" s="221"/>
      <c r="P562" s="221"/>
      <c r="Q562" s="221"/>
      <c r="R562" s="221"/>
      <c r="S562" s="221"/>
      <c r="T562" s="221"/>
      <c r="U562" s="221"/>
      <c r="V562" s="221"/>
      <c r="W562" s="221"/>
      <c r="X562" s="221"/>
    </row>
    <row r="563" spans="5:24" x14ac:dyDescent="0.25">
      <c r="E563" s="221"/>
      <c r="F563" s="221"/>
      <c r="G563" s="221"/>
      <c r="H563" s="221"/>
      <c r="I563" s="221"/>
      <c r="J563" s="221"/>
      <c r="K563" s="221"/>
      <c r="L563" s="221"/>
      <c r="M563" s="221"/>
      <c r="N563" s="221"/>
      <c r="O563" s="221"/>
      <c r="P563" s="221"/>
      <c r="Q563" s="221"/>
      <c r="R563" s="221"/>
      <c r="S563" s="221"/>
      <c r="T563" s="221"/>
      <c r="U563" s="221"/>
      <c r="V563" s="221"/>
      <c r="W563" s="221"/>
      <c r="X563" s="221"/>
    </row>
    <row r="564" spans="5:24" x14ac:dyDescent="0.25">
      <c r="E564" s="221"/>
      <c r="F564" s="221"/>
      <c r="G564" s="221"/>
      <c r="H564" s="221"/>
      <c r="I564" s="221"/>
      <c r="J564" s="221"/>
      <c r="K564" s="221"/>
      <c r="L564" s="221"/>
      <c r="M564" s="221"/>
      <c r="N564" s="221"/>
      <c r="O564" s="221"/>
      <c r="P564" s="221"/>
      <c r="Q564" s="221"/>
      <c r="R564" s="221"/>
      <c r="S564" s="221"/>
      <c r="T564" s="221"/>
      <c r="U564" s="221"/>
      <c r="V564" s="221"/>
      <c r="W564" s="221"/>
      <c r="X564" s="221"/>
    </row>
    <row r="565" spans="5:24" x14ac:dyDescent="0.25">
      <c r="E565" s="221"/>
      <c r="F565" s="221"/>
      <c r="G565" s="221"/>
      <c r="H565" s="221"/>
      <c r="I565" s="221"/>
      <c r="J565" s="221"/>
      <c r="K565" s="221"/>
      <c r="L565" s="221"/>
      <c r="M565" s="221"/>
      <c r="N565" s="221"/>
      <c r="O565" s="221"/>
      <c r="P565" s="221"/>
      <c r="Q565" s="221"/>
      <c r="R565" s="221"/>
      <c r="S565" s="221"/>
      <c r="T565" s="221"/>
      <c r="U565" s="221"/>
      <c r="V565" s="221"/>
      <c r="W565" s="221"/>
      <c r="X565" s="221"/>
    </row>
    <row r="566" spans="5:24" x14ac:dyDescent="0.25">
      <c r="E566" s="221"/>
      <c r="F566" s="221"/>
      <c r="G566" s="221"/>
      <c r="H566" s="221"/>
      <c r="I566" s="221"/>
      <c r="J566" s="221"/>
      <c r="K566" s="221"/>
      <c r="L566" s="221"/>
      <c r="M566" s="221"/>
      <c r="N566" s="221"/>
      <c r="O566" s="221"/>
      <c r="P566" s="221"/>
      <c r="Q566" s="221"/>
      <c r="R566" s="221"/>
      <c r="S566" s="221"/>
      <c r="T566" s="221"/>
      <c r="U566" s="221"/>
      <c r="V566" s="221"/>
      <c r="W566" s="221"/>
      <c r="X566" s="221"/>
    </row>
    <row r="567" spans="5:24" x14ac:dyDescent="0.25">
      <c r="E567" s="221"/>
      <c r="F567" s="221"/>
      <c r="G567" s="221"/>
      <c r="H567" s="221"/>
      <c r="I567" s="221"/>
      <c r="J567" s="221"/>
      <c r="K567" s="221"/>
      <c r="L567" s="221"/>
      <c r="M567" s="221"/>
      <c r="N567" s="221"/>
      <c r="O567" s="221"/>
      <c r="P567" s="221"/>
      <c r="Q567" s="221"/>
      <c r="R567" s="221"/>
      <c r="S567" s="221"/>
      <c r="T567" s="221"/>
      <c r="U567" s="221"/>
      <c r="V567" s="221"/>
      <c r="W567" s="221"/>
      <c r="X567" s="221"/>
    </row>
    <row r="568" spans="5:24" x14ac:dyDescent="0.25">
      <c r="E568" s="221"/>
      <c r="F568" s="221"/>
      <c r="G568" s="221"/>
      <c r="H568" s="221"/>
      <c r="I568" s="221"/>
      <c r="J568" s="221"/>
      <c r="K568" s="221"/>
      <c r="L568" s="221"/>
      <c r="M568" s="221"/>
      <c r="N568" s="221"/>
      <c r="O568" s="221"/>
      <c r="P568" s="221"/>
      <c r="Q568" s="221"/>
      <c r="R568" s="221"/>
      <c r="S568" s="221"/>
      <c r="T568" s="221"/>
      <c r="U568" s="221"/>
      <c r="V568" s="221"/>
      <c r="W568" s="221"/>
      <c r="X568" s="221"/>
    </row>
    <row r="569" spans="5:24" x14ac:dyDescent="0.25">
      <c r="E569" s="221"/>
      <c r="F569" s="221"/>
      <c r="G569" s="221"/>
      <c r="H569" s="221"/>
      <c r="I569" s="221"/>
      <c r="J569" s="221"/>
      <c r="K569" s="221"/>
      <c r="L569" s="221"/>
      <c r="M569" s="221"/>
      <c r="N569" s="221"/>
      <c r="O569" s="221"/>
      <c r="P569" s="221"/>
      <c r="Q569" s="221"/>
      <c r="R569" s="221"/>
      <c r="S569" s="221"/>
      <c r="T569" s="221"/>
      <c r="U569" s="221"/>
      <c r="V569" s="221"/>
      <c r="W569" s="221"/>
      <c r="X569" s="221"/>
    </row>
    <row r="570" spans="5:24" x14ac:dyDescent="0.25">
      <c r="E570" s="221"/>
      <c r="F570" s="221"/>
      <c r="G570" s="221"/>
      <c r="H570" s="221"/>
      <c r="I570" s="221"/>
      <c r="J570" s="221"/>
      <c r="K570" s="221"/>
      <c r="L570" s="221"/>
      <c r="M570" s="221"/>
      <c r="N570" s="221"/>
      <c r="O570" s="221"/>
      <c r="P570" s="221"/>
      <c r="Q570" s="221"/>
      <c r="R570" s="221"/>
      <c r="S570" s="221"/>
      <c r="T570" s="221"/>
      <c r="U570" s="221"/>
      <c r="V570" s="221"/>
      <c r="W570" s="221"/>
      <c r="X570" s="221"/>
    </row>
    <row r="571" spans="5:24" x14ac:dyDescent="0.25">
      <c r="E571" s="221"/>
      <c r="F571" s="221"/>
      <c r="G571" s="221"/>
      <c r="H571" s="221"/>
      <c r="I571" s="221"/>
      <c r="J571" s="221"/>
      <c r="K571" s="221"/>
      <c r="L571" s="221"/>
      <c r="M571" s="221"/>
      <c r="N571" s="221"/>
      <c r="O571" s="221"/>
      <c r="P571" s="221"/>
      <c r="Q571" s="221"/>
      <c r="R571" s="221"/>
      <c r="S571" s="221"/>
      <c r="T571" s="221"/>
      <c r="U571" s="221"/>
      <c r="V571" s="221"/>
      <c r="W571" s="221"/>
      <c r="X571" s="221"/>
    </row>
    <row r="572" spans="5:24" x14ac:dyDescent="0.25">
      <c r="E572" s="221"/>
      <c r="F572" s="221"/>
      <c r="G572" s="221"/>
      <c r="H572" s="221"/>
      <c r="I572" s="221"/>
      <c r="J572" s="221"/>
      <c r="K572" s="221"/>
      <c r="L572" s="221"/>
      <c r="M572" s="221"/>
      <c r="N572" s="221"/>
      <c r="O572" s="221"/>
      <c r="P572" s="221"/>
      <c r="Q572" s="221"/>
      <c r="R572" s="221"/>
      <c r="S572" s="221"/>
      <c r="T572" s="221"/>
      <c r="U572" s="221"/>
      <c r="V572" s="221"/>
      <c r="W572" s="221"/>
      <c r="X572" s="221"/>
    </row>
    <row r="573" spans="5:24" x14ac:dyDescent="0.25">
      <c r="E573" s="221"/>
      <c r="F573" s="221"/>
      <c r="G573" s="221"/>
      <c r="H573" s="221"/>
      <c r="I573" s="221"/>
      <c r="J573" s="221"/>
      <c r="K573" s="221"/>
      <c r="L573" s="221"/>
      <c r="M573" s="221"/>
      <c r="N573" s="221"/>
      <c r="O573" s="221"/>
      <c r="P573" s="221"/>
      <c r="Q573" s="221"/>
      <c r="R573" s="221"/>
      <c r="S573" s="221"/>
      <c r="T573" s="221"/>
      <c r="U573" s="221"/>
      <c r="V573" s="221"/>
      <c r="W573" s="221"/>
      <c r="X573" s="221"/>
    </row>
    <row r="574" spans="5:24" x14ac:dyDescent="0.25">
      <c r="E574" s="221"/>
      <c r="F574" s="221"/>
      <c r="G574" s="221"/>
      <c r="H574" s="221"/>
      <c r="I574" s="221"/>
      <c r="J574" s="221"/>
      <c r="K574" s="221"/>
      <c r="L574" s="221"/>
      <c r="M574" s="221"/>
      <c r="N574" s="221"/>
      <c r="O574" s="221"/>
      <c r="P574" s="221"/>
      <c r="Q574" s="221"/>
      <c r="R574" s="221"/>
      <c r="S574" s="221"/>
      <c r="T574" s="221"/>
      <c r="U574" s="221"/>
      <c r="V574" s="221"/>
      <c r="W574" s="221"/>
      <c r="X574" s="221"/>
    </row>
    <row r="575" spans="5:24" x14ac:dyDescent="0.25">
      <c r="E575" s="221"/>
      <c r="F575" s="221"/>
      <c r="G575" s="221"/>
      <c r="H575" s="221"/>
      <c r="I575" s="221"/>
      <c r="J575" s="221"/>
      <c r="K575" s="221"/>
      <c r="L575" s="221"/>
      <c r="M575" s="221"/>
      <c r="N575" s="221"/>
      <c r="O575" s="221"/>
      <c r="P575" s="221"/>
      <c r="Q575" s="221"/>
      <c r="R575" s="221"/>
      <c r="S575" s="221"/>
      <c r="T575" s="221"/>
      <c r="U575" s="221"/>
      <c r="V575" s="221"/>
      <c r="W575" s="221"/>
      <c r="X575" s="221"/>
    </row>
    <row r="576" spans="5:24" x14ac:dyDescent="0.25">
      <c r="E576" s="221"/>
      <c r="F576" s="221"/>
      <c r="G576" s="221"/>
      <c r="H576" s="221"/>
      <c r="I576" s="221"/>
      <c r="J576" s="221"/>
      <c r="K576" s="221"/>
      <c r="L576" s="221"/>
      <c r="M576" s="221"/>
      <c r="N576" s="221"/>
      <c r="O576" s="221"/>
      <c r="P576" s="221"/>
      <c r="Q576" s="221"/>
      <c r="R576" s="221"/>
      <c r="S576" s="221"/>
      <c r="T576" s="221"/>
      <c r="U576" s="221"/>
      <c r="V576" s="221"/>
      <c r="W576" s="221"/>
      <c r="X576" s="221"/>
    </row>
    <row r="577" spans="5:24" x14ac:dyDescent="0.25">
      <c r="E577" s="221"/>
      <c r="F577" s="221"/>
      <c r="G577" s="221"/>
      <c r="H577" s="221"/>
      <c r="I577" s="221"/>
      <c r="J577" s="221"/>
      <c r="K577" s="221"/>
      <c r="L577" s="221"/>
      <c r="M577" s="221"/>
      <c r="N577" s="221"/>
      <c r="O577" s="221"/>
      <c r="P577" s="221"/>
      <c r="Q577" s="221"/>
      <c r="R577" s="221"/>
      <c r="S577" s="221"/>
      <c r="T577" s="221"/>
      <c r="U577" s="221"/>
      <c r="V577" s="221"/>
      <c r="W577" s="221"/>
      <c r="X577" s="221"/>
    </row>
    <row r="578" spans="5:24" x14ac:dyDescent="0.25">
      <c r="E578" s="221"/>
      <c r="F578" s="221"/>
      <c r="G578" s="221"/>
      <c r="H578" s="221"/>
      <c r="I578" s="221"/>
      <c r="J578" s="221"/>
      <c r="K578" s="221"/>
      <c r="L578" s="221"/>
      <c r="M578" s="221"/>
      <c r="N578" s="221"/>
      <c r="O578" s="221"/>
      <c r="P578" s="221"/>
      <c r="Q578" s="221"/>
      <c r="R578" s="221"/>
      <c r="S578" s="221"/>
      <c r="T578" s="221"/>
      <c r="U578" s="221"/>
      <c r="V578" s="221"/>
      <c r="W578" s="221"/>
      <c r="X578" s="221"/>
    </row>
    <row r="579" spans="5:24" x14ac:dyDescent="0.25">
      <c r="E579" s="221"/>
      <c r="F579" s="221"/>
      <c r="G579" s="221"/>
      <c r="H579" s="221"/>
      <c r="I579" s="221"/>
      <c r="J579" s="221"/>
      <c r="K579" s="221"/>
      <c r="L579" s="221"/>
      <c r="M579" s="221"/>
      <c r="N579" s="221"/>
      <c r="O579" s="221"/>
      <c r="P579" s="221"/>
      <c r="Q579" s="221"/>
      <c r="R579" s="221"/>
      <c r="S579" s="221"/>
      <c r="T579" s="221"/>
      <c r="U579" s="221"/>
      <c r="V579" s="221"/>
      <c r="W579" s="221"/>
      <c r="X579" s="221"/>
    </row>
    <row r="580" spans="5:24" x14ac:dyDescent="0.25">
      <c r="E580" s="221"/>
      <c r="F580" s="221"/>
      <c r="G580" s="221"/>
      <c r="H580" s="221"/>
      <c r="I580" s="221"/>
      <c r="J580" s="221"/>
      <c r="K580" s="221"/>
      <c r="L580" s="221"/>
      <c r="M580" s="221"/>
      <c r="N580" s="221"/>
      <c r="O580" s="221"/>
      <c r="P580" s="221"/>
      <c r="Q580" s="221"/>
      <c r="R580" s="221"/>
      <c r="S580" s="221"/>
      <c r="T580" s="221"/>
      <c r="U580" s="221"/>
      <c r="V580" s="221"/>
      <c r="W580" s="221"/>
      <c r="X580" s="221"/>
    </row>
    <row r="581" spans="5:24" x14ac:dyDescent="0.25">
      <c r="E581" s="221"/>
      <c r="F581" s="221"/>
      <c r="G581" s="221"/>
      <c r="H581" s="221"/>
      <c r="I581" s="221"/>
      <c r="J581" s="221"/>
      <c r="K581" s="221"/>
      <c r="L581" s="221"/>
      <c r="M581" s="221"/>
      <c r="N581" s="221"/>
      <c r="O581" s="221"/>
      <c r="P581" s="221"/>
      <c r="Q581" s="221"/>
      <c r="R581" s="221"/>
      <c r="S581" s="221"/>
      <c r="T581" s="221"/>
      <c r="U581" s="221"/>
      <c r="V581" s="221"/>
      <c r="W581" s="221"/>
      <c r="X581" s="221"/>
    </row>
    <row r="582" spans="5:24" x14ac:dyDescent="0.25">
      <c r="E582" s="221"/>
      <c r="F582" s="221"/>
      <c r="G582" s="221"/>
      <c r="H582" s="221"/>
      <c r="I582" s="221"/>
      <c r="J582" s="221"/>
      <c r="K582" s="221"/>
      <c r="L582" s="221"/>
      <c r="M582" s="221"/>
      <c r="N582" s="221"/>
      <c r="O582" s="221"/>
      <c r="P582" s="221"/>
      <c r="Q582" s="221"/>
      <c r="R582" s="221"/>
      <c r="S582" s="221"/>
      <c r="T582" s="221"/>
      <c r="U582" s="221"/>
      <c r="V582" s="221"/>
      <c r="W582" s="221"/>
      <c r="X582" s="221"/>
    </row>
    <row r="583" spans="5:24" x14ac:dyDescent="0.25">
      <c r="E583" s="221"/>
      <c r="F583" s="221"/>
      <c r="G583" s="221"/>
      <c r="H583" s="221"/>
      <c r="I583" s="221"/>
      <c r="J583" s="221"/>
      <c r="K583" s="221"/>
      <c r="L583" s="221"/>
      <c r="M583" s="221"/>
      <c r="N583" s="221"/>
      <c r="O583" s="221"/>
      <c r="P583" s="221"/>
      <c r="Q583" s="221"/>
      <c r="R583" s="221"/>
      <c r="S583" s="221"/>
      <c r="T583" s="221"/>
      <c r="U583" s="221"/>
      <c r="V583" s="221"/>
      <c r="W583" s="221"/>
      <c r="X583" s="221"/>
    </row>
    <row r="584" spans="5:24" x14ac:dyDescent="0.25">
      <c r="E584" s="221"/>
      <c r="F584" s="221"/>
      <c r="G584" s="221"/>
      <c r="H584" s="221"/>
      <c r="I584" s="221"/>
      <c r="J584" s="221"/>
      <c r="K584" s="221"/>
      <c r="L584" s="221"/>
      <c r="M584" s="221"/>
      <c r="N584" s="221"/>
      <c r="O584" s="221"/>
      <c r="P584" s="221"/>
      <c r="Q584" s="221"/>
      <c r="R584" s="221"/>
      <c r="S584" s="221"/>
      <c r="T584" s="221"/>
      <c r="U584" s="221"/>
      <c r="V584" s="221"/>
      <c r="W584" s="221"/>
      <c r="X584" s="221"/>
    </row>
    <row r="585" spans="5:24" x14ac:dyDescent="0.25">
      <c r="E585" s="221"/>
      <c r="F585" s="221"/>
      <c r="G585" s="221"/>
      <c r="H585" s="221"/>
      <c r="I585" s="221"/>
      <c r="J585" s="221"/>
      <c r="K585" s="221"/>
      <c r="L585" s="221"/>
      <c r="M585" s="221"/>
      <c r="N585" s="221"/>
      <c r="O585" s="221"/>
      <c r="P585" s="221"/>
      <c r="Q585" s="221"/>
      <c r="R585" s="221"/>
      <c r="S585" s="221"/>
      <c r="T585" s="221"/>
      <c r="U585" s="221"/>
      <c r="V585" s="221"/>
      <c r="W585" s="221"/>
      <c r="X585" s="221"/>
    </row>
    <row r="586" spans="5:24" x14ac:dyDescent="0.25">
      <c r="E586" s="221"/>
      <c r="F586" s="221"/>
      <c r="G586" s="221"/>
      <c r="H586" s="221"/>
      <c r="I586" s="221"/>
      <c r="J586" s="221"/>
      <c r="K586" s="221"/>
      <c r="L586" s="221"/>
      <c r="M586" s="221"/>
      <c r="N586" s="221"/>
      <c r="O586" s="221"/>
      <c r="P586" s="221"/>
      <c r="Q586" s="221"/>
      <c r="R586" s="221"/>
      <c r="S586" s="221"/>
      <c r="T586" s="221"/>
      <c r="U586" s="221"/>
      <c r="V586" s="221"/>
      <c r="W586" s="221"/>
      <c r="X586" s="221"/>
    </row>
    <row r="587" spans="5:24" x14ac:dyDescent="0.25">
      <c r="E587" s="221"/>
      <c r="F587" s="221"/>
      <c r="G587" s="221"/>
      <c r="H587" s="221"/>
      <c r="I587" s="221"/>
      <c r="J587" s="221"/>
      <c r="K587" s="221"/>
      <c r="L587" s="221"/>
      <c r="M587" s="221"/>
      <c r="N587" s="221"/>
      <c r="O587" s="221"/>
      <c r="P587" s="221"/>
      <c r="Q587" s="221"/>
      <c r="R587" s="221"/>
      <c r="S587" s="221"/>
      <c r="T587" s="221"/>
      <c r="U587" s="221"/>
      <c r="V587" s="221"/>
      <c r="W587" s="221"/>
      <c r="X587" s="221"/>
    </row>
    <row r="588" spans="5:24" x14ac:dyDescent="0.25">
      <c r="E588" s="221"/>
      <c r="F588" s="221"/>
      <c r="G588" s="221"/>
      <c r="H588" s="221"/>
      <c r="I588" s="221"/>
      <c r="J588" s="221"/>
      <c r="K588" s="221"/>
      <c r="L588" s="221"/>
      <c r="M588" s="221"/>
      <c r="N588" s="221"/>
      <c r="O588" s="221"/>
      <c r="P588" s="221"/>
      <c r="Q588" s="221"/>
      <c r="R588" s="221"/>
      <c r="S588" s="221"/>
      <c r="T588" s="221"/>
      <c r="U588" s="221"/>
      <c r="V588" s="221"/>
      <c r="W588" s="221"/>
      <c r="X588" s="221"/>
    </row>
    <row r="589" spans="5:24" x14ac:dyDescent="0.25">
      <c r="E589" s="221"/>
      <c r="F589" s="221"/>
      <c r="G589" s="221"/>
      <c r="H589" s="221"/>
      <c r="I589" s="221"/>
      <c r="J589" s="221"/>
      <c r="K589" s="221"/>
      <c r="L589" s="221"/>
      <c r="M589" s="221"/>
      <c r="N589" s="221"/>
      <c r="O589" s="221"/>
      <c r="P589" s="221"/>
      <c r="Q589" s="221"/>
      <c r="R589" s="221"/>
      <c r="S589" s="221"/>
      <c r="T589" s="221"/>
      <c r="U589" s="221"/>
      <c r="V589" s="221"/>
      <c r="W589" s="221"/>
      <c r="X589" s="221"/>
    </row>
    <row r="590" spans="5:24" x14ac:dyDescent="0.25">
      <c r="E590" s="221"/>
      <c r="F590" s="221"/>
      <c r="G590" s="221"/>
      <c r="H590" s="221"/>
      <c r="I590" s="221"/>
      <c r="J590" s="221"/>
      <c r="K590" s="221"/>
      <c r="L590" s="221"/>
      <c r="M590" s="221"/>
      <c r="N590" s="221"/>
      <c r="O590" s="221"/>
      <c r="P590" s="221"/>
      <c r="Q590" s="221"/>
      <c r="R590" s="221"/>
      <c r="S590" s="221"/>
      <c r="T590" s="221"/>
      <c r="U590" s="221"/>
      <c r="V590" s="221"/>
      <c r="W590" s="221"/>
      <c r="X590" s="221"/>
    </row>
    <row r="591" spans="5:24" x14ac:dyDescent="0.25">
      <c r="E591" s="221"/>
      <c r="F591" s="221"/>
      <c r="G591" s="221"/>
      <c r="H591" s="221"/>
      <c r="I591" s="221"/>
      <c r="J591" s="221"/>
      <c r="K591" s="221"/>
      <c r="L591" s="221"/>
      <c r="M591" s="221"/>
      <c r="N591" s="221"/>
      <c r="O591" s="221"/>
      <c r="P591" s="221"/>
      <c r="Q591" s="221"/>
      <c r="R591" s="221"/>
      <c r="S591" s="221"/>
      <c r="T591" s="221"/>
      <c r="U591" s="221"/>
      <c r="V591" s="221"/>
      <c r="W591" s="221"/>
      <c r="X591" s="221"/>
    </row>
    <row r="592" spans="5:24" x14ac:dyDescent="0.25">
      <c r="E592" s="221"/>
      <c r="F592" s="221"/>
      <c r="G592" s="221"/>
      <c r="H592" s="221"/>
      <c r="I592" s="221"/>
      <c r="J592" s="221"/>
      <c r="K592" s="221"/>
      <c r="L592" s="221"/>
      <c r="M592" s="221"/>
      <c r="N592" s="221"/>
      <c r="O592" s="221"/>
      <c r="P592" s="221"/>
      <c r="Q592" s="221"/>
      <c r="R592" s="221"/>
      <c r="S592" s="221"/>
      <c r="T592" s="221"/>
      <c r="U592" s="221"/>
      <c r="V592" s="221"/>
      <c r="W592" s="221"/>
      <c r="X592" s="221"/>
    </row>
    <row r="593" spans="5:24" x14ac:dyDescent="0.25">
      <c r="E593" s="221"/>
      <c r="F593" s="221"/>
      <c r="G593" s="221"/>
      <c r="H593" s="221"/>
      <c r="I593" s="221"/>
      <c r="J593" s="221"/>
      <c r="K593" s="221"/>
      <c r="L593" s="221"/>
      <c r="M593" s="221"/>
      <c r="N593" s="221"/>
      <c r="O593" s="221"/>
      <c r="P593" s="221"/>
      <c r="Q593" s="221"/>
      <c r="R593" s="221"/>
      <c r="S593" s="221"/>
      <c r="T593" s="221"/>
      <c r="U593" s="221"/>
      <c r="V593" s="221"/>
      <c r="W593" s="221"/>
      <c r="X593" s="221"/>
    </row>
    <row r="594" spans="5:24" x14ac:dyDescent="0.25">
      <c r="E594" s="221"/>
      <c r="F594" s="221"/>
      <c r="G594" s="221"/>
      <c r="H594" s="221"/>
      <c r="I594" s="221"/>
      <c r="J594" s="221"/>
      <c r="K594" s="221"/>
      <c r="L594" s="221"/>
      <c r="M594" s="221"/>
      <c r="N594" s="221"/>
      <c r="O594" s="221"/>
      <c r="P594" s="221"/>
      <c r="Q594" s="221"/>
      <c r="R594" s="221"/>
      <c r="S594" s="221"/>
      <c r="T594" s="221"/>
      <c r="U594" s="221"/>
      <c r="V594" s="221"/>
      <c r="W594" s="221"/>
      <c r="X594" s="221"/>
    </row>
    <row r="595" spans="5:24" x14ac:dyDescent="0.25">
      <c r="E595" s="221"/>
      <c r="F595" s="221"/>
      <c r="G595" s="221"/>
      <c r="H595" s="221"/>
      <c r="I595" s="221"/>
      <c r="J595" s="221"/>
      <c r="K595" s="221"/>
      <c r="L595" s="221"/>
      <c r="M595" s="221"/>
      <c r="N595" s="221"/>
      <c r="O595" s="221"/>
      <c r="P595" s="221"/>
      <c r="Q595" s="221"/>
      <c r="R595" s="221"/>
      <c r="S595" s="221"/>
      <c r="T595" s="221"/>
      <c r="U595" s="221"/>
      <c r="V595" s="221"/>
      <c r="W595" s="221"/>
      <c r="X595" s="221"/>
    </row>
    <row r="596" spans="5:24" x14ac:dyDescent="0.25">
      <c r="E596" s="221"/>
      <c r="F596" s="221"/>
      <c r="G596" s="221"/>
      <c r="H596" s="221"/>
      <c r="I596" s="221"/>
      <c r="J596" s="221"/>
      <c r="K596" s="221"/>
      <c r="L596" s="221"/>
      <c r="M596" s="221"/>
      <c r="N596" s="221"/>
      <c r="O596" s="221"/>
      <c r="P596" s="221"/>
      <c r="Q596" s="221"/>
      <c r="R596" s="221"/>
      <c r="S596" s="221"/>
      <c r="T596" s="221"/>
      <c r="U596" s="221"/>
      <c r="V596" s="221"/>
      <c r="W596" s="221"/>
      <c r="X596" s="221"/>
    </row>
    <row r="597" spans="5:24" x14ac:dyDescent="0.25">
      <c r="E597" s="221"/>
      <c r="F597" s="221"/>
      <c r="G597" s="221"/>
      <c r="H597" s="221"/>
      <c r="I597" s="221"/>
      <c r="J597" s="221"/>
      <c r="K597" s="221"/>
      <c r="L597" s="221"/>
      <c r="M597" s="221"/>
      <c r="N597" s="221"/>
      <c r="O597" s="221"/>
      <c r="P597" s="221"/>
      <c r="Q597" s="221"/>
      <c r="R597" s="221"/>
      <c r="S597" s="221"/>
      <c r="T597" s="221"/>
      <c r="U597" s="221"/>
      <c r="V597" s="221"/>
      <c r="W597" s="221"/>
      <c r="X597" s="221"/>
    </row>
    <row r="598" spans="5:24" x14ac:dyDescent="0.25">
      <c r="E598" s="221"/>
      <c r="F598" s="221"/>
      <c r="G598" s="221"/>
      <c r="H598" s="221"/>
      <c r="I598" s="221"/>
      <c r="J598" s="221"/>
      <c r="K598" s="221"/>
      <c r="L598" s="221"/>
      <c r="M598" s="221"/>
      <c r="N598" s="221"/>
      <c r="O598" s="221"/>
      <c r="P598" s="221"/>
      <c r="Q598" s="221"/>
      <c r="R598" s="221"/>
      <c r="S598" s="221"/>
      <c r="T598" s="221"/>
      <c r="U598" s="221"/>
      <c r="V598" s="221"/>
      <c r="W598" s="221"/>
      <c r="X598" s="221"/>
    </row>
    <row r="599" spans="5:24" x14ac:dyDescent="0.25">
      <c r="E599" s="221"/>
      <c r="F599" s="221"/>
      <c r="G599" s="221"/>
      <c r="H599" s="221"/>
      <c r="I599" s="221"/>
      <c r="J599" s="221"/>
      <c r="K599" s="221"/>
      <c r="L599" s="221"/>
      <c r="M599" s="221"/>
      <c r="N599" s="221"/>
      <c r="O599" s="221"/>
      <c r="P599" s="221"/>
      <c r="Q599" s="221"/>
      <c r="R599" s="221"/>
      <c r="S599" s="221"/>
      <c r="T599" s="221"/>
      <c r="U599" s="221"/>
      <c r="V599" s="221"/>
      <c r="W599" s="221"/>
      <c r="X599" s="221"/>
    </row>
    <row r="600" spans="5:24" x14ac:dyDescent="0.25">
      <c r="E600" s="221"/>
      <c r="F600" s="221"/>
      <c r="G600" s="221"/>
      <c r="H600" s="221"/>
      <c r="I600" s="221"/>
      <c r="J600" s="221"/>
      <c r="K600" s="221"/>
      <c r="L600" s="221"/>
      <c r="M600" s="221"/>
      <c r="N600" s="221"/>
      <c r="O600" s="221"/>
      <c r="P600" s="221"/>
      <c r="Q600" s="221"/>
      <c r="R600" s="221"/>
      <c r="S600" s="221"/>
      <c r="T600" s="221"/>
      <c r="U600" s="221"/>
      <c r="V600" s="221"/>
      <c r="W600" s="221"/>
      <c r="X600" s="221"/>
    </row>
    <row r="601" spans="5:24" x14ac:dyDescent="0.25">
      <c r="E601" s="221"/>
      <c r="F601" s="221"/>
      <c r="G601" s="221"/>
      <c r="H601" s="221"/>
      <c r="I601" s="221"/>
      <c r="J601" s="221"/>
      <c r="K601" s="221"/>
      <c r="L601" s="221"/>
      <c r="M601" s="221"/>
      <c r="N601" s="221"/>
      <c r="O601" s="221"/>
      <c r="P601" s="221"/>
      <c r="Q601" s="221"/>
      <c r="R601" s="221"/>
      <c r="S601" s="221"/>
      <c r="T601" s="221"/>
      <c r="U601" s="221"/>
      <c r="V601" s="221"/>
      <c r="W601" s="221"/>
      <c r="X601" s="221"/>
    </row>
    <row r="602" spans="5:24" x14ac:dyDescent="0.25">
      <c r="E602" s="221"/>
      <c r="F602" s="221"/>
      <c r="G602" s="221"/>
      <c r="H602" s="221"/>
      <c r="I602" s="221"/>
      <c r="J602" s="221"/>
      <c r="K602" s="221"/>
      <c r="L602" s="221"/>
      <c r="M602" s="221"/>
      <c r="N602" s="221"/>
      <c r="O602" s="221"/>
      <c r="P602" s="221"/>
      <c r="Q602" s="221"/>
      <c r="R602" s="221"/>
      <c r="S602" s="221"/>
      <c r="T602" s="221"/>
      <c r="U602" s="221"/>
      <c r="V602" s="221"/>
      <c r="W602" s="221"/>
      <c r="X602" s="221"/>
    </row>
    <row r="603" spans="5:24" x14ac:dyDescent="0.25">
      <c r="E603" s="221"/>
      <c r="F603" s="221"/>
      <c r="G603" s="221"/>
      <c r="H603" s="221"/>
      <c r="I603" s="221"/>
      <c r="J603" s="221"/>
      <c r="K603" s="221"/>
      <c r="L603" s="221"/>
      <c r="M603" s="221"/>
      <c r="N603" s="221"/>
      <c r="O603" s="221"/>
      <c r="P603" s="221"/>
      <c r="Q603" s="221"/>
      <c r="R603" s="221"/>
      <c r="S603" s="221"/>
      <c r="T603" s="221"/>
      <c r="U603" s="221"/>
      <c r="V603" s="221"/>
      <c r="W603" s="221"/>
      <c r="X603" s="221"/>
    </row>
    <row r="604" spans="5:24" x14ac:dyDescent="0.25">
      <c r="E604" s="221"/>
      <c r="F604" s="221"/>
      <c r="G604" s="221"/>
      <c r="H604" s="221"/>
      <c r="I604" s="221"/>
      <c r="J604" s="221"/>
      <c r="K604" s="221"/>
      <c r="L604" s="221"/>
      <c r="M604" s="221"/>
      <c r="N604" s="221"/>
      <c r="O604" s="221"/>
      <c r="P604" s="221"/>
      <c r="Q604" s="221"/>
      <c r="R604" s="221"/>
      <c r="S604" s="221"/>
      <c r="T604" s="221"/>
      <c r="U604" s="221"/>
      <c r="V604" s="221"/>
      <c r="W604" s="221"/>
      <c r="X604" s="221"/>
    </row>
    <row r="605" spans="5:24" x14ac:dyDescent="0.25">
      <c r="E605" s="221"/>
      <c r="F605" s="221"/>
      <c r="G605" s="221"/>
      <c r="H605" s="221"/>
      <c r="I605" s="221"/>
      <c r="J605" s="221"/>
      <c r="K605" s="221"/>
      <c r="L605" s="221"/>
      <c r="M605" s="221"/>
      <c r="N605" s="221"/>
      <c r="O605" s="221"/>
      <c r="P605" s="221"/>
      <c r="Q605" s="221"/>
      <c r="R605" s="221"/>
      <c r="S605" s="221"/>
      <c r="T605" s="221"/>
      <c r="U605" s="221"/>
      <c r="V605" s="221"/>
      <c r="W605" s="221"/>
      <c r="X605" s="221"/>
    </row>
    <row r="606" spans="5:24" x14ac:dyDescent="0.25">
      <c r="E606" s="221"/>
      <c r="F606" s="221"/>
      <c r="G606" s="221"/>
      <c r="H606" s="221"/>
      <c r="I606" s="221"/>
      <c r="J606" s="221"/>
      <c r="K606" s="221"/>
      <c r="L606" s="221"/>
      <c r="M606" s="221"/>
      <c r="N606" s="221"/>
      <c r="O606" s="221"/>
      <c r="P606" s="221"/>
      <c r="Q606" s="221"/>
      <c r="R606" s="221"/>
      <c r="S606" s="221"/>
      <c r="T606" s="221"/>
      <c r="U606" s="221"/>
      <c r="V606" s="221"/>
      <c r="W606" s="221"/>
      <c r="X606" s="221"/>
    </row>
    <row r="607" spans="5:24" x14ac:dyDescent="0.25">
      <c r="E607" s="221"/>
      <c r="F607" s="221"/>
      <c r="G607" s="221"/>
      <c r="H607" s="221"/>
      <c r="I607" s="221"/>
      <c r="J607" s="221"/>
      <c r="K607" s="221"/>
      <c r="L607" s="221"/>
      <c r="M607" s="221"/>
      <c r="N607" s="221"/>
      <c r="O607" s="221"/>
      <c r="P607" s="221"/>
      <c r="Q607" s="221"/>
      <c r="R607" s="221"/>
      <c r="S607" s="221"/>
      <c r="T607" s="221"/>
      <c r="U607" s="221"/>
      <c r="V607" s="221"/>
      <c r="W607" s="221"/>
      <c r="X607" s="221"/>
    </row>
    <row r="608" spans="5:24" x14ac:dyDescent="0.25">
      <c r="E608" s="221"/>
      <c r="F608" s="221"/>
      <c r="G608" s="221"/>
      <c r="H608" s="221"/>
      <c r="I608" s="221"/>
      <c r="J608" s="221"/>
      <c r="K608" s="221"/>
      <c r="L608" s="221"/>
      <c r="M608" s="221"/>
      <c r="N608" s="221"/>
      <c r="O608" s="221"/>
      <c r="P608" s="221"/>
      <c r="Q608" s="221"/>
      <c r="R608" s="221"/>
      <c r="S608" s="221"/>
      <c r="T608" s="221"/>
      <c r="U608" s="221"/>
      <c r="V608" s="221"/>
      <c r="W608" s="221"/>
      <c r="X608" s="221"/>
    </row>
    <row r="609" spans="5:24" x14ac:dyDescent="0.25">
      <c r="E609" s="221"/>
      <c r="F609" s="221"/>
      <c r="G609" s="221"/>
      <c r="H609" s="221"/>
      <c r="I609" s="221"/>
      <c r="J609" s="221"/>
      <c r="K609" s="221"/>
      <c r="L609" s="221"/>
      <c r="M609" s="221"/>
      <c r="N609" s="221"/>
      <c r="O609" s="221"/>
      <c r="P609" s="221"/>
      <c r="Q609" s="221"/>
      <c r="R609" s="221"/>
      <c r="S609" s="221"/>
      <c r="T609" s="221"/>
      <c r="U609" s="221"/>
      <c r="V609" s="221"/>
      <c r="W609" s="221"/>
      <c r="X609" s="221"/>
    </row>
    <row r="610" spans="5:24" x14ac:dyDescent="0.25">
      <c r="E610" s="221"/>
      <c r="F610" s="221"/>
      <c r="G610" s="221"/>
      <c r="H610" s="221"/>
      <c r="I610" s="221"/>
      <c r="J610" s="221"/>
      <c r="K610" s="221"/>
      <c r="L610" s="221"/>
      <c r="M610" s="221"/>
      <c r="N610" s="221"/>
      <c r="O610" s="221"/>
      <c r="P610" s="221"/>
      <c r="Q610" s="221"/>
      <c r="R610" s="221"/>
      <c r="S610" s="221"/>
      <c r="T610" s="221"/>
      <c r="U610" s="221"/>
      <c r="V610" s="221"/>
      <c r="W610" s="221"/>
      <c r="X610" s="221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4597C-29B0-4CBA-90B5-229567CE1727}">
  <dimension ref="A1:N76"/>
  <sheetViews>
    <sheetView showGridLines="0" workbookViewId="0"/>
  </sheetViews>
  <sheetFormatPr defaultRowHeight="15.75" x14ac:dyDescent="0.25"/>
  <cols>
    <col min="1" max="1" width="3.75" customWidth="1"/>
    <col min="2" max="2" width="10.25" bestFit="1" customWidth="1"/>
    <col min="3" max="3" width="15.625" bestFit="1" customWidth="1"/>
    <col min="4" max="5" width="13.125" customWidth="1"/>
    <col min="6" max="6" width="12.375" customWidth="1"/>
    <col min="7" max="7" width="13.25" customWidth="1"/>
    <col min="8" max="8" width="9" customWidth="1"/>
    <col min="9" max="9" width="10.625" customWidth="1"/>
    <col min="10" max="14" width="10.625" bestFit="1" customWidth="1"/>
  </cols>
  <sheetData>
    <row r="1" spans="1:14" x14ac:dyDescent="0.25">
      <c r="A1" s="96"/>
      <c r="B1" s="97"/>
      <c r="C1" s="97"/>
      <c r="D1" s="97"/>
      <c r="E1" s="310"/>
      <c r="F1" s="311"/>
      <c r="G1" s="311"/>
      <c r="H1" s="311"/>
      <c r="I1" s="98" t="s">
        <v>15</v>
      </c>
      <c r="J1" s="100" t="s">
        <v>16</v>
      </c>
      <c r="K1" s="101"/>
      <c r="L1" s="101"/>
      <c r="M1" s="101"/>
      <c r="N1" s="101"/>
    </row>
    <row r="2" spans="1:14" x14ac:dyDescent="0.25">
      <c r="A2" s="97"/>
      <c r="B2" s="97"/>
      <c r="C2" s="97"/>
      <c r="D2" s="97"/>
      <c r="E2" s="300"/>
      <c r="F2" s="300"/>
      <c r="G2" s="300"/>
      <c r="H2" s="300"/>
      <c r="I2" s="102">
        <v>2025</v>
      </c>
      <c r="J2" s="103">
        <v>2026</v>
      </c>
      <c r="K2" s="103">
        <v>2027</v>
      </c>
      <c r="L2" s="103">
        <v>2028</v>
      </c>
      <c r="M2" s="103">
        <v>2029</v>
      </c>
      <c r="N2" s="103">
        <v>2030</v>
      </c>
    </row>
    <row r="3" spans="1:14" x14ac:dyDescent="0.25">
      <c r="A3" s="354" t="s">
        <v>438</v>
      </c>
      <c r="B3" s="355"/>
      <c r="C3" s="355"/>
      <c r="D3" s="355"/>
      <c r="E3" s="358"/>
      <c r="F3" s="358"/>
      <c r="G3" s="359"/>
      <c r="H3" s="300"/>
      <c r="I3" s="300"/>
      <c r="J3" s="300"/>
      <c r="K3" s="300"/>
      <c r="L3" s="300"/>
      <c r="M3" s="300"/>
      <c r="N3" s="300"/>
    </row>
    <row r="4" spans="1:14" x14ac:dyDescent="0.25">
      <c r="A4" s="322"/>
      <c r="B4" s="97" t="s">
        <v>439</v>
      </c>
      <c r="C4" s="97"/>
      <c r="D4" s="301">
        <v>6.9000000000000006E-2</v>
      </c>
      <c r="E4" s="221"/>
      <c r="F4" s="221"/>
      <c r="G4" s="268"/>
      <c r="H4" s="221"/>
      <c r="I4" s="221"/>
      <c r="J4" s="221"/>
      <c r="K4" s="221"/>
      <c r="L4" s="221"/>
      <c r="M4" s="221"/>
      <c r="N4" s="221"/>
    </row>
    <row r="5" spans="1:14" x14ac:dyDescent="0.25">
      <c r="A5" s="322"/>
      <c r="B5" s="97" t="s">
        <v>440</v>
      </c>
      <c r="C5" s="97"/>
      <c r="D5" s="302">
        <v>0.69</v>
      </c>
      <c r="E5" s="221"/>
      <c r="F5" s="221"/>
      <c r="G5" s="268"/>
      <c r="H5" s="221"/>
      <c r="I5" s="221"/>
      <c r="J5" s="221"/>
      <c r="K5" s="221"/>
      <c r="L5" s="221"/>
      <c r="M5" s="221"/>
      <c r="N5" s="221"/>
    </row>
    <row r="6" spans="1:14" x14ac:dyDescent="0.25">
      <c r="A6" s="322"/>
      <c r="B6" s="97" t="s">
        <v>478</v>
      </c>
      <c r="C6" s="97"/>
      <c r="D6" s="312">
        <v>1.2999999999999999E-2</v>
      </c>
      <c r="E6" s="221"/>
      <c r="F6" s="221"/>
      <c r="G6" s="268"/>
      <c r="H6" s="221"/>
      <c r="I6" s="221"/>
      <c r="J6" s="221"/>
      <c r="K6" s="221"/>
      <c r="L6" s="221"/>
      <c r="M6" s="221"/>
      <c r="N6" s="221"/>
    </row>
    <row r="7" spans="1:14" x14ac:dyDescent="0.25">
      <c r="A7" s="322"/>
      <c r="B7" s="97" t="s">
        <v>477</v>
      </c>
      <c r="C7" s="97"/>
      <c r="D7" s="312">
        <v>6.0699999999999997E-2</v>
      </c>
      <c r="E7" s="221"/>
      <c r="F7" s="221"/>
      <c r="G7" s="268"/>
      <c r="H7" s="221"/>
      <c r="I7" s="221"/>
      <c r="J7" s="221"/>
      <c r="K7" s="221"/>
      <c r="L7" s="221"/>
      <c r="M7" s="221"/>
      <c r="N7" s="221"/>
    </row>
    <row r="8" spans="1:14" x14ac:dyDescent="0.25">
      <c r="A8" s="322"/>
      <c r="B8" s="97" t="s">
        <v>441</v>
      </c>
      <c r="C8" s="97"/>
      <c r="D8" s="321">
        <f>D4+(D5*(D6+D7))</f>
        <v>0.119853</v>
      </c>
      <c r="E8" s="221"/>
      <c r="F8" s="221"/>
      <c r="G8" s="268"/>
      <c r="H8" s="221"/>
      <c r="I8" s="221"/>
      <c r="J8" s="221"/>
      <c r="K8" s="221"/>
      <c r="L8" s="221"/>
      <c r="M8" s="221"/>
      <c r="N8" s="221"/>
    </row>
    <row r="9" spans="1:14" x14ac:dyDescent="0.25">
      <c r="A9" s="322"/>
      <c r="B9" s="97" t="s">
        <v>442</v>
      </c>
      <c r="C9" s="97"/>
      <c r="D9" s="301">
        <v>3.5000000000000003E-2</v>
      </c>
      <c r="E9" s="221"/>
      <c r="F9" s="221"/>
      <c r="G9" s="268"/>
      <c r="H9" s="221"/>
      <c r="I9" s="221"/>
      <c r="J9" s="221"/>
      <c r="K9" s="221"/>
      <c r="L9" s="221"/>
      <c r="M9" s="221"/>
      <c r="N9" s="221"/>
    </row>
    <row r="10" spans="1:14" x14ac:dyDescent="0.25">
      <c r="A10" s="322"/>
      <c r="B10" s="97" t="s">
        <v>432</v>
      </c>
      <c r="C10" s="97"/>
      <c r="D10" s="221">
        <f>'Equity Schedule'!J4</f>
        <v>947.89374299999997</v>
      </c>
      <c r="E10" s="221"/>
      <c r="F10" s="221"/>
      <c r="G10" s="268"/>
      <c r="H10" s="221"/>
      <c r="I10" s="221"/>
      <c r="J10" s="221"/>
      <c r="K10" s="221"/>
      <c r="L10" s="221"/>
      <c r="M10" s="221"/>
      <c r="N10" s="221"/>
    </row>
    <row r="11" spans="1:14" x14ac:dyDescent="0.25">
      <c r="A11" s="322"/>
      <c r="B11" s="97" t="s">
        <v>443</v>
      </c>
      <c r="C11" s="97"/>
      <c r="D11" s="302">
        <v>437</v>
      </c>
      <c r="E11" s="221"/>
      <c r="F11" s="221"/>
      <c r="G11" s="268"/>
      <c r="H11" s="221"/>
      <c r="I11" s="221"/>
      <c r="J11" s="221"/>
      <c r="K11" s="221"/>
      <c r="L11" s="221"/>
      <c r="M11" s="221"/>
      <c r="N11" s="221"/>
    </row>
    <row r="12" spans="1:14" x14ac:dyDescent="0.25">
      <c r="A12" s="348"/>
      <c r="B12" s="349" t="s">
        <v>444</v>
      </c>
      <c r="C12" s="349"/>
      <c r="D12" s="350">
        <f>DATE(2026,4,18)</f>
        <v>46130</v>
      </c>
      <c r="E12" s="272"/>
      <c r="F12" s="272"/>
      <c r="G12" s="291"/>
      <c r="H12" s="221"/>
      <c r="I12" s="221"/>
      <c r="J12" s="221"/>
      <c r="K12" s="221"/>
      <c r="L12" s="221"/>
      <c r="M12" s="221"/>
      <c r="N12" s="221"/>
    </row>
    <row r="13" spans="1:14" x14ac:dyDescent="0.25">
      <c r="A13" s="97"/>
      <c r="B13" s="97"/>
      <c r="C13" s="97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</row>
    <row r="14" spans="1:14" x14ac:dyDescent="0.25">
      <c r="A14" s="354" t="s">
        <v>445</v>
      </c>
      <c r="B14" s="355"/>
      <c r="C14" s="355"/>
      <c r="D14" s="356"/>
      <c r="E14" s="356"/>
      <c r="F14" s="356"/>
      <c r="G14" s="357"/>
      <c r="H14" s="221"/>
      <c r="I14" s="221"/>
      <c r="J14" s="221"/>
      <c r="K14" s="221"/>
      <c r="L14" s="221"/>
      <c r="M14" s="221"/>
      <c r="N14" s="221"/>
    </row>
    <row r="15" spans="1:14" x14ac:dyDescent="0.25">
      <c r="A15" s="322"/>
      <c r="B15" s="97" t="s">
        <v>289</v>
      </c>
      <c r="C15" s="97"/>
      <c r="D15" s="221"/>
      <c r="E15" s="221"/>
      <c r="F15" s="221"/>
      <c r="G15" s="268"/>
      <c r="H15" s="221"/>
      <c r="I15" s="221">
        <f>'NOI &amp; NDCF'!I33</f>
        <v>21811</v>
      </c>
      <c r="J15" s="240">
        <f>'NOI &amp; NDCF'!J33</f>
        <v>23769.547563197364</v>
      </c>
      <c r="K15" s="240">
        <f>'NOI &amp; NDCF'!K33</f>
        <v>24489.895632748659</v>
      </c>
      <c r="L15" s="240">
        <f>'NOI &amp; NDCF'!L33</f>
        <v>35610.105239607634</v>
      </c>
      <c r="M15" s="240">
        <f>'NOI &amp; NDCF'!M33</f>
        <v>35076.696444224086</v>
      </c>
      <c r="N15" s="240">
        <f>'NOI &amp; NDCF'!N33</f>
        <v>39295.424823495137</v>
      </c>
    </row>
    <row r="16" spans="1:14" x14ac:dyDescent="0.25">
      <c r="A16" s="322"/>
      <c r="B16" s="97" t="s">
        <v>433</v>
      </c>
      <c r="C16" s="97"/>
      <c r="D16" s="221"/>
      <c r="E16" s="221"/>
      <c r="F16" s="221"/>
      <c r="G16" s="268"/>
      <c r="H16" s="221"/>
      <c r="I16" s="221"/>
      <c r="J16" s="305">
        <f>1/(1+$D$8)^((DATE(J$2,3,31)-$D$12)/365.25)</f>
        <v>1.0055941068533378</v>
      </c>
      <c r="K16" s="305">
        <f>1/(1+$D$8)^((DATE(K$2,3,31)-$D$12)/365.25)</f>
        <v>0.89803931651369562</v>
      </c>
      <c r="L16" s="305">
        <f>1/(1+$D$8)^((DATE(L$2,3,31)-$D$12)/365.25)</f>
        <v>0.80173969448314264</v>
      </c>
      <c r="M16" s="305">
        <f>1/(1+$D$8)^((DATE(M$2,3,31)-$D$12)/365.25)</f>
        <v>0.71598845135291644</v>
      </c>
      <c r="N16" s="305">
        <f>1/(1+$D$8)^((DATE(N$2,3,31)-$D$12)/365.25)</f>
        <v>0.63940885800999381</v>
      </c>
    </row>
    <row r="17" spans="1:14" x14ac:dyDescent="0.25">
      <c r="A17" s="322"/>
      <c r="B17" s="97" t="s">
        <v>434</v>
      </c>
      <c r="C17" s="97"/>
      <c r="D17" s="221"/>
      <c r="E17" s="221"/>
      <c r="F17" s="221"/>
      <c r="G17" s="268"/>
      <c r="H17" s="221"/>
      <c r="I17" s="221"/>
      <c r="J17" s="240">
        <f t="shared" ref="J17:N17" si="0">J15*J16</f>
        <v>23902.516952121387</v>
      </c>
      <c r="K17" s="240">
        <f t="shared" si="0"/>
        <v>21992.889135525344</v>
      </c>
      <c r="L17" s="240">
        <f t="shared" si="0"/>
        <v>28550.034895315581</v>
      </c>
      <c r="M17" s="240">
        <f t="shared" si="0"/>
        <v>25114.509565676355</v>
      </c>
      <c r="N17" s="240">
        <f t="shared" si="0"/>
        <v>25125.84271140859</v>
      </c>
    </row>
    <row r="18" spans="1:14" x14ac:dyDescent="0.25">
      <c r="A18" s="322"/>
      <c r="B18" s="97" t="s">
        <v>446</v>
      </c>
      <c r="C18" s="97"/>
      <c r="D18" s="221">
        <f>SUM(J17:N17)</f>
        <v>124685.79326004726</v>
      </c>
      <c r="E18" s="221"/>
      <c r="F18" s="221"/>
      <c r="G18" s="268"/>
      <c r="H18" s="221"/>
      <c r="I18" s="221"/>
      <c r="J18" s="221"/>
      <c r="K18" s="221"/>
      <c r="L18" s="221"/>
      <c r="M18" s="221"/>
      <c r="N18" s="221"/>
    </row>
    <row r="19" spans="1:14" x14ac:dyDescent="0.25">
      <c r="A19" s="36"/>
      <c r="G19" s="323"/>
    </row>
    <row r="20" spans="1:14" x14ac:dyDescent="0.25">
      <c r="A20" s="324"/>
      <c r="B20" s="1" t="s">
        <v>508</v>
      </c>
      <c r="G20" s="323"/>
    </row>
    <row r="21" spans="1:14" x14ac:dyDescent="0.25">
      <c r="A21" s="36"/>
      <c r="B21" t="s">
        <v>473</v>
      </c>
      <c r="D21" s="325">
        <f>N15*(1+$D$9)</f>
        <v>40670.764692317462</v>
      </c>
      <c r="G21" s="323"/>
    </row>
    <row r="22" spans="1:14" x14ac:dyDescent="0.25">
      <c r="A22" s="36"/>
      <c r="B22" t="s">
        <v>461</v>
      </c>
      <c r="D22" s="325">
        <f>D21/($D$8-$D$9)</f>
        <v>479308.50638536602</v>
      </c>
      <c r="G22" s="323"/>
    </row>
    <row r="23" spans="1:14" x14ac:dyDescent="0.25">
      <c r="A23" s="36"/>
      <c r="B23" t="s">
        <v>447</v>
      </c>
      <c r="D23" s="326">
        <f>D22*N16</f>
        <v>306474.10470234271</v>
      </c>
      <c r="G23" s="323"/>
    </row>
    <row r="24" spans="1:14" x14ac:dyDescent="0.25">
      <c r="A24" s="36"/>
      <c r="B24" s="1" t="s">
        <v>462</v>
      </c>
      <c r="D24" s="327">
        <f>D18+D23</f>
        <v>431159.89796238998</v>
      </c>
      <c r="G24" s="323"/>
    </row>
    <row r="25" spans="1:14" x14ac:dyDescent="0.25">
      <c r="A25" s="125"/>
      <c r="B25" s="328" t="s">
        <v>509</v>
      </c>
      <c r="C25" s="45"/>
      <c r="D25" s="329">
        <f>D24/D10</f>
        <v>454.86100224462604</v>
      </c>
      <c r="E25" s="45"/>
      <c r="F25" s="45"/>
      <c r="G25" s="330"/>
    </row>
    <row r="27" spans="1:14" x14ac:dyDescent="0.25">
      <c r="A27" s="360" t="s">
        <v>449</v>
      </c>
      <c r="B27" s="361"/>
      <c r="C27" s="361"/>
      <c r="D27" s="361"/>
      <c r="E27" s="362"/>
      <c r="F27" s="362"/>
      <c r="G27" s="363"/>
    </row>
    <row r="28" spans="1:14" x14ac:dyDescent="0.25">
      <c r="A28" s="36"/>
      <c r="B28" t="s">
        <v>448</v>
      </c>
      <c r="G28" s="323"/>
      <c r="J28" s="306">
        <f>'Data &amp; Assumptions'!J182</f>
        <v>654788.55892888503</v>
      </c>
      <c r="K28" s="306">
        <f>'Data &amp; Assumptions'!K182</f>
        <v>702838.26419151854</v>
      </c>
      <c r="L28" s="306">
        <f>'Data &amp; Assumptions'!L182</f>
        <v>760023.21523311769</v>
      </c>
      <c r="M28" s="306">
        <f>'Data &amp; Assumptions'!M182</f>
        <v>822218.63161804632</v>
      </c>
      <c r="N28" s="306">
        <f>'Data &amp; Assumptions'!N182</f>
        <v>885352.31121549429</v>
      </c>
    </row>
    <row r="29" spans="1:14" x14ac:dyDescent="0.25">
      <c r="A29" s="36"/>
      <c r="B29" s="6" t="s">
        <v>472</v>
      </c>
      <c r="G29" s="323"/>
      <c r="J29" s="307">
        <f ca="1">-'Data &amp; Assumptions'!J180</f>
        <v>-186563.10156195267</v>
      </c>
      <c r="K29" s="307">
        <f ca="1">-'Data &amp; Assumptions'!K180</f>
        <v>-199895.00592862637</v>
      </c>
      <c r="L29" s="307">
        <f ca="1">-'Data &amp; Assumptions'!L180</f>
        <v>-201571.99901027782</v>
      </c>
      <c r="M29" s="307">
        <f ca="1">-'Data &amp; Assumptions'!M180</f>
        <v>-211660.64817555819</v>
      </c>
      <c r="N29" s="307">
        <f ca="1">-'Data &amp; Assumptions'!N180</f>
        <v>-214767.12039186485</v>
      </c>
    </row>
    <row r="30" spans="1:14" x14ac:dyDescent="0.25">
      <c r="A30" s="36"/>
      <c r="B30" s="1" t="s">
        <v>449</v>
      </c>
      <c r="G30" s="323"/>
      <c r="J30" s="308">
        <f ca="1">J28+J29</f>
        <v>468225.45736693236</v>
      </c>
      <c r="K30" s="308">
        <f ca="1">K28+K29</f>
        <v>502943.25826289214</v>
      </c>
      <c r="L30" s="308">
        <f ca="1">L28+L29</f>
        <v>558451.2162228399</v>
      </c>
      <c r="M30" s="308">
        <f ca="1">M28+M29</f>
        <v>610557.98344248813</v>
      </c>
      <c r="N30" s="308">
        <f ca="1">N28+N29</f>
        <v>670585.1908236295</v>
      </c>
    </row>
    <row r="31" spans="1:14" x14ac:dyDescent="0.25">
      <c r="A31" s="36"/>
      <c r="B31" s="1" t="s">
        <v>476</v>
      </c>
      <c r="G31" s="323"/>
      <c r="J31" s="309">
        <f ca="1">J30/$D$10</f>
        <v>493.96407648502895</v>
      </c>
      <c r="K31" s="309">
        <f ca="1">K30/$D$10</f>
        <v>530.59033459923592</v>
      </c>
      <c r="L31" s="309">
        <f ca="1">L30/$D$10</f>
        <v>589.14959651003824</v>
      </c>
      <c r="M31" s="309">
        <f ca="1">M30/$D$10</f>
        <v>644.12070229530798</v>
      </c>
      <c r="N31" s="309">
        <f ca="1">N30/$D$10</f>
        <v>707.44763933274487</v>
      </c>
    </row>
    <row r="32" spans="1:14" x14ac:dyDescent="0.25">
      <c r="A32" s="125"/>
      <c r="B32" s="332" t="s">
        <v>475</v>
      </c>
      <c r="C32" s="45"/>
      <c r="D32" s="333">
        <f ca="1">J31</f>
        <v>493.96407648502895</v>
      </c>
      <c r="E32" s="334"/>
      <c r="F32" s="45"/>
      <c r="G32" s="330"/>
    </row>
    <row r="34" spans="1:7" x14ac:dyDescent="0.25">
      <c r="A34" s="360" t="s">
        <v>465</v>
      </c>
      <c r="B34" s="361"/>
      <c r="C34" s="361"/>
      <c r="D34" s="361"/>
      <c r="E34" s="362"/>
      <c r="F34" s="362"/>
      <c r="G34" s="363"/>
    </row>
    <row r="35" spans="1:7" x14ac:dyDescent="0.25">
      <c r="A35" s="335"/>
      <c r="B35" s="303"/>
      <c r="C35" s="303"/>
      <c r="D35" s="303"/>
      <c r="E35" s="336" t="s">
        <v>435</v>
      </c>
      <c r="F35" s="336" t="s">
        <v>436</v>
      </c>
      <c r="G35" s="337" t="s">
        <v>437</v>
      </c>
    </row>
    <row r="36" spans="1:7" x14ac:dyDescent="0.25">
      <c r="A36" s="36"/>
      <c r="B36" t="s">
        <v>463</v>
      </c>
      <c r="E36" s="338">
        <f>F36-2</f>
        <v>10.519810254419323</v>
      </c>
      <c r="F36" s="338">
        <f>D38</f>
        <v>12.519810254419323</v>
      </c>
      <c r="G36" s="339">
        <f>F36+2</f>
        <v>14.519810254419323</v>
      </c>
    </row>
    <row r="37" spans="1:7" x14ac:dyDescent="0.25">
      <c r="A37" s="36"/>
      <c r="B37" t="s">
        <v>450</v>
      </c>
      <c r="D37" s="340">
        <f>'NOI &amp; NDCF'!N18</f>
        <v>60375.162129615739</v>
      </c>
      <c r="G37" s="323"/>
    </row>
    <row r="38" spans="1:7" x14ac:dyDescent="0.25">
      <c r="A38" s="36"/>
      <c r="B38" t="s">
        <v>464</v>
      </c>
      <c r="D38" s="340">
        <f>D11*D10/'NOI &amp; NDCF'!I18</f>
        <v>12.519810254419323</v>
      </c>
      <c r="G38" s="323"/>
    </row>
    <row r="39" spans="1:7" x14ac:dyDescent="0.25">
      <c r="A39" s="36"/>
      <c r="B39" t="s">
        <v>451</v>
      </c>
      <c r="E39" s="341">
        <f>$D$37*E36</f>
        <v>635135.2496833608</v>
      </c>
      <c r="F39" s="341">
        <f>$D$37*F36</f>
        <v>755885.57394259225</v>
      </c>
      <c r="G39" s="342">
        <f>$D$37*G36</f>
        <v>876635.8982018237</v>
      </c>
    </row>
    <row r="40" spans="1:7" x14ac:dyDescent="0.25">
      <c r="A40" s="36"/>
      <c r="B40" t="s">
        <v>452</v>
      </c>
      <c r="E40" s="343">
        <f ca="1">'Data &amp; Assumptions'!N180</f>
        <v>214767.12039186485</v>
      </c>
      <c r="F40" s="343">
        <f ca="1">'Data &amp; Assumptions'!N180</f>
        <v>214767.12039186485</v>
      </c>
      <c r="G40" s="344">
        <f ca="1">'Data &amp; Assumptions'!N180</f>
        <v>214767.12039186485</v>
      </c>
    </row>
    <row r="41" spans="1:7" x14ac:dyDescent="0.25">
      <c r="A41" s="36"/>
      <c r="B41" t="s">
        <v>453</v>
      </c>
      <c r="E41" s="341">
        <f ca="1">E39-E40</f>
        <v>420368.12929149595</v>
      </c>
      <c r="F41" s="341">
        <f ca="1">F39-F40</f>
        <v>541118.45355072734</v>
      </c>
      <c r="G41" s="342">
        <f ca="1">G39-G40</f>
        <v>661868.7778099589</v>
      </c>
    </row>
    <row r="42" spans="1:7" x14ac:dyDescent="0.25">
      <c r="A42" s="36"/>
      <c r="B42" t="s">
        <v>466</v>
      </c>
      <c r="E42" s="341">
        <f ca="1">E41*$N$16+$D$18</f>
        <v>393472.89875412011</v>
      </c>
      <c r="F42" s="341">
        <f ca="1">F41*$N$16+$D$18</f>
        <v>470681.7256930517</v>
      </c>
      <c r="G42" s="342">
        <f ca="1">G41*$N$16+$D$18</f>
        <v>547890.55263198342</v>
      </c>
    </row>
    <row r="43" spans="1:7" x14ac:dyDescent="0.25">
      <c r="A43" s="125"/>
      <c r="B43" s="345" t="s">
        <v>467</v>
      </c>
      <c r="C43" s="288"/>
      <c r="D43" s="288"/>
      <c r="E43" s="346">
        <f ca="1">E42/$D$10</f>
        <v>415.10232730180616</v>
      </c>
      <c r="F43" s="351">
        <f ca="1">F42/$D$10</f>
        <v>496.55536727501294</v>
      </c>
      <c r="G43" s="347">
        <f ca="1">G42/$D$10</f>
        <v>578.00840724821978</v>
      </c>
    </row>
    <row r="45" spans="1:7" x14ac:dyDescent="0.25">
      <c r="A45" s="360" t="s">
        <v>469</v>
      </c>
      <c r="B45" s="361"/>
      <c r="C45" s="361"/>
      <c r="D45" s="361"/>
      <c r="E45" s="362"/>
      <c r="F45" s="362"/>
      <c r="G45" s="363"/>
    </row>
    <row r="46" spans="1:7" x14ac:dyDescent="0.25">
      <c r="A46" s="352"/>
      <c r="B46" s="303"/>
      <c r="C46" s="303"/>
      <c r="D46" s="303"/>
      <c r="E46" s="336" t="s">
        <v>435</v>
      </c>
      <c r="F46" s="336" t="s">
        <v>436</v>
      </c>
      <c r="G46" s="337" t="s">
        <v>437</v>
      </c>
    </row>
    <row r="47" spans="1:7" x14ac:dyDescent="0.25">
      <c r="A47" s="36"/>
      <c r="B47" t="s">
        <v>470</v>
      </c>
      <c r="E47" s="338">
        <v>10</v>
      </c>
      <c r="F47" s="338">
        <v>12</v>
      </c>
      <c r="G47" s="339">
        <v>14</v>
      </c>
    </row>
    <row r="48" spans="1:7" x14ac:dyDescent="0.25">
      <c r="A48" s="36"/>
      <c r="B48" t="s">
        <v>471</v>
      </c>
      <c r="D48" s="340">
        <f>'NOI &amp; NDCF'!N24</f>
        <v>49860.667137088305</v>
      </c>
      <c r="G48" s="323"/>
    </row>
    <row r="49" spans="1:9" x14ac:dyDescent="0.25">
      <c r="A49" s="36"/>
      <c r="B49" t="s">
        <v>454</v>
      </c>
      <c r="E49" s="341">
        <f>$D$48*E47</f>
        <v>498606.67137088306</v>
      </c>
      <c r="F49" s="341">
        <f>$D$48*F47</f>
        <v>598328.00564505963</v>
      </c>
      <c r="G49" s="342">
        <f>$D$48*G47</f>
        <v>698049.33991923626</v>
      </c>
    </row>
    <row r="50" spans="1:9" x14ac:dyDescent="0.25">
      <c r="A50" s="36"/>
      <c r="B50" t="s">
        <v>447</v>
      </c>
      <c r="E50" s="341">
        <f>E49*$N$16</f>
        <v>318813.52233742061</v>
      </c>
      <c r="F50" s="341">
        <f>F49*$N$16</f>
        <v>382576.2268049047</v>
      </c>
      <c r="G50" s="342">
        <f>G49*$N$16</f>
        <v>446338.93127238884</v>
      </c>
    </row>
    <row r="51" spans="1:9" x14ac:dyDescent="0.25">
      <c r="A51" s="36"/>
      <c r="B51" t="s">
        <v>460</v>
      </c>
      <c r="E51" s="341">
        <f>$D$18</f>
        <v>124685.79326004726</v>
      </c>
      <c r="F51" s="341">
        <f>$D$18</f>
        <v>124685.79326004726</v>
      </c>
      <c r="G51" s="342">
        <f>$D$18</f>
        <v>124685.79326004726</v>
      </c>
    </row>
    <row r="52" spans="1:9" x14ac:dyDescent="0.25">
      <c r="A52" s="36"/>
      <c r="B52" t="s">
        <v>455</v>
      </c>
      <c r="E52" s="341">
        <f>E50+E51</f>
        <v>443499.31559746788</v>
      </c>
      <c r="F52" s="341">
        <f>F50+F51</f>
        <v>507262.02006495197</v>
      </c>
      <c r="G52" s="342">
        <f>G50+G51</f>
        <v>571024.72453243611</v>
      </c>
    </row>
    <row r="53" spans="1:9" x14ac:dyDescent="0.25">
      <c r="A53" s="125"/>
      <c r="B53" s="345" t="s">
        <v>474</v>
      </c>
      <c r="C53" s="288"/>
      <c r="D53" s="288"/>
      <c r="E53" s="346">
        <f>E52/$D$10</f>
        <v>467.8787246699527</v>
      </c>
      <c r="F53" s="351">
        <f>F52/$D$10</f>
        <v>535.14650118853251</v>
      </c>
      <c r="G53" s="347">
        <f>G52/$D$10</f>
        <v>602.41427770711232</v>
      </c>
    </row>
    <row r="55" spans="1:9" x14ac:dyDescent="0.25">
      <c r="A55" s="360" t="s">
        <v>510</v>
      </c>
      <c r="B55" s="361"/>
      <c r="C55" s="361"/>
      <c r="D55" s="361"/>
      <c r="E55" s="361"/>
      <c r="F55" s="361"/>
      <c r="G55" s="370"/>
      <c r="H55" s="303"/>
    </row>
    <row r="56" spans="1:9" x14ac:dyDescent="0.25">
      <c r="A56" s="36"/>
      <c r="B56" s="364" t="s">
        <v>511</v>
      </c>
      <c r="C56" s="364" t="s">
        <v>456</v>
      </c>
      <c r="D56" s="364" t="s">
        <v>457</v>
      </c>
      <c r="E56" s="364" t="s">
        <v>458</v>
      </c>
      <c r="F56" s="364" t="s">
        <v>459</v>
      </c>
      <c r="G56" s="323"/>
    </row>
    <row r="57" spans="1:9" x14ac:dyDescent="0.25">
      <c r="A57" s="36"/>
      <c r="B57" t="s">
        <v>512</v>
      </c>
      <c r="C57" s="365">
        <f ca="1">J31*0.95</f>
        <v>469.26587266077746</v>
      </c>
      <c r="D57" s="366">
        <f ca="1">J31</f>
        <v>493.96407648502895</v>
      </c>
      <c r="E57" s="365">
        <f ca="1">J31*1.05</f>
        <v>518.66228030928039</v>
      </c>
      <c r="F57" s="367">
        <f ca="1">D57/$D$11-1</f>
        <v>0.13035257776894493</v>
      </c>
      <c r="G57" s="323"/>
    </row>
    <row r="58" spans="1:9" x14ac:dyDescent="0.25">
      <c r="A58" s="36"/>
      <c r="B58" t="s">
        <v>468</v>
      </c>
      <c r="C58" s="365">
        <f>E53</f>
        <v>467.8787246699527</v>
      </c>
      <c r="D58" s="366">
        <f>F53</f>
        <v>535.14650118853251</v>
      </c>
      <c r="E58" s="365">
        <f>G53</f>
        <v>602.41427770711232</v>
      </c>
      <c r="F58" s="367">
        <f>D58/$D$11-1</f>
        <v>0.22459153590053216</v>
      </c>
      <c r="G58" s="323"/>
    </row>
    <row r="59" spans="1:9" x14ac:dyDescent="0.25">
      <c r="A59" s="36"/>
      <c r="B59" t="s">
        <v>513</v>
      </c>
      <c r="C59" s="365">
        <f ca="1">E43</f>
        <v>415.10232730180616</v>
      </c>
      <c r="D59" s="366">
        <f ca="1">F43</f>
        <v>496.55536727501294</v>
      </c>
      <c r="E59" s="365">
        <f ca="1">G43</f>
        <v>578.00840724821978</v>
      </c>
      <c r="F59" s="367">
        <f ca="1">D59/$D$11-1</f>
        <v>0.13628230497714622</v>
      </c>
      <c r="G59" s="323"/>
    </row>
    <row r="60" spans="1:9" x14ac:dyDescent="0.25">
      <c r="A60" s="36"/>
      <c r="B60" t="s">
        <v>514</v>
      </c>
      <c r="C60" s="365">
        <f>D25*0.9</f>
        <v>409.37490202016346</v>
      </c>
      <c r="D60" s="366">
        <f>D25</f>
        <v>454.86100224462604</v>
      </c>
      <c r="E60" s="365">
        <f>D25*1.1</f>
        <v>500.34710246908867</v>
      </c>
      <c r="F60" s="367">
        <f>D60/$D$11-1</f>
        <v>4.0871858683354745E-2</v>
      </c>
      <c r="G60" s="323"/>
    </row>
    <row r="61" spans="1:9" x14ac:dyDescent="0.25">
      <c r="A61" s="125"/>
      <c r="B61" s="368" t="s">
        <v>443</v>
      </c>
      <c r="C61" s="45"/>
      <c r="D61" s="369">
        <f>D11</f>
        <v>437</v>
      </c>
      <c r="E61" s="45"/>
      <c r="F61" s="45"/>
      <c r="G61" s="330"/>
    </row>
    <row r="62" spans="1:9" x14ac:dyDescent="0.25">
      <c r="B62" s="304"/>
      <c r="D62" s="353"/>
    </row>
    <row r="63" spans="1:9" x14ac:dyDescent="0.25">
      <c r="A63" s="376"/>
      <c r="B63" s="377" t="s">
        <v>515</v>
      </c>
      <c r="C63" s="361"/>
      <c r="D63" s="361"/>
      <c r="E63" s="361"/>
      <c r="F63" s="361"/>
      <c r="G63" s="370"/>
      <c r="H63" s="331"/>
      <c r="I63" s="303"/>
    </row>
    <row r="64" spans="1:9" x14ac:dyDescent="0.25">
      <c r="A64" s="36"/>
      <c r="B64" s="379" t="s">
        <v>507</v>
      </c>
      <c r="C64" s="380">
        <v>0.1</v>
      </c>
      <c r="D64" s="380">
        <v>0.11</v>
      </c>
      <c r="E64" s="381">
        <v>0.12</v>
      </c>
      <c r="F64" s="380">
        <v>0.13</v>
      </c>
      <c r="G64" s="371">
        <v>0.14000000000000001</v>
      </c>
    </row>
    <row r="65" spans="1:7" x14ac:dyDescent="0.25">
      <c r="A65" s="36"/>
      <c r="B65" s="380">
        <v>2.5000000000000001E-2</v>
      </c>
      <c r="C65" s="365">
        <f t="shared" ref="C65:G69" si="1">($J$15/(1+C$64)^((DATE($J$2,3,31)-$D$12)/365.25)+$K$15/(1+C$64)^((DATE($K$2,3,31)-$D$12)/365.25)+$L$15/(1+C$64)^((DATE($L$2,3,31)-$D$12)/365.25)+$M$15/(1+C$64)^((DATE($M$2,3,31)-$D$12)/365.25)+$N$15/(1+C$64)^((DATE($N$2,3,31)-$D$12)/365.25)+($N$15*(1+$B65)/(C$64-$B65))/(1+C$64)^((DATE($N$2,3,31)-$D$12)/365.25))/$D$10</f>
        <v>525.15192196503017</v>
      </c>
      <c r="D65" s="365">
        <f t="shared" si="1"/>
        <v>464.89127829644656</v>
      </c>
      <c r="E65" s="365">
        <f t="shared" si="1"/>
        <v>417.35396545202485</v>
      </c>
      <c r="F65" s="365">
        <f t="shared" si="1"/>
        <v>378.9035408166917</v>
      </c>
      <c r="G65" s="372">
        <f t="shared" si="1"/>
        <v>347.16846354199612</v>
      </c>
    </row>
    <row r="66" spans="1:7" ht="16.5" thickBot="1" x14ac:dyDescent="0.3">
      <c r="A66" s="36"/>
      <c r="B66" s="380">
        <v>0.03</v>
      </c>
      <c r="C66" s="365">
        <f t="shared" si="1"/>
        <v>554.95457063718277</v>
      </c>
      <c r="D66" s="365">
        <f t="shared" si="1"/>
        <v>487.29437548897761</v>
      </c>
      <c r="E66" s="382">
        <f t="shared" si="1"/>
        <v>434.706290812541</v>
      </c>
      <c r="F66" s="365">
        <f t="shared" si="1"/>
        <v>392.66750335888861</v>
      </c>
      <c r="G66" s="372">
        <f t="shared" si="1"/>
        <v>358.2999100191488</v>
      </c>
    </row>
    <row r="67" spans="1:7" ht="16.5" thickBot="1" x14ac:dyDescent="0.3">
      <c r="A67" s="36"/>
      <c r="B67" s="381">
        <v>3.5000000000000003E-2</v>
      </c>
      <c r="C67" s="365">
        <f t="shared" si="1"/>
        <v>589.34224218197392</v>
      </c>
      <c r="D67" s="365">
        <f t="shared" si="1"/>
        <v>512.68455230717927</v>
      </c>
      <c r="E67" s="378">
        <f t="shared" si="1"/>
        <v>454.10006621547075</v>
      </c>
      <c r="F67" s="365">
        <f t="shared" si="1"/>
        <v>407.88030406342193</v>
      </c>
      <c r="G67" s="372">
        <f t="shared" si="1"/>
        <v>370.49149425603031</v>
      </c>
    </row>
    <row r="68" spans="1:7" x14ac:dyDescent="0.25">
      <c r="A68" s="36"/>
      <c r="B68" s="380">
        <v>0.04</v>
      </c>
      <c r="C68" s="365">
        <f t="shared" si="1"/>
        <v>629.46119231756393</v>
      </c>
      <c r="D68" s="365">
        <f t="shared" si="1"/>
        <v>541.70189724226702</v>
      </c>
      <c r="E68" s="365">
        <f t="shared" si="1"/>
        <v>475.91806354376678</v>
      </c>
      <c r="F68" s="365">
        <f t="shared" si="1"/>
        <v>424.78341595734787</v>
      </c>
      <c r="G68" s="372">
        <f t="shared" si="1"/>
        <v>383.90223691659997</v>
      </c>
    </row>
    <row r="69" spans="1:7" x14ac:dyDescent="0.25">
      <c r="A69" s="125"/>
      <c r="B69" s="373">
        <v>4.4999999999999998E-2</v>
      </c>
      <c r="C69" s="374">
        <f t="shared" si="1"/>
        <v>676.87449702326103</v>
      </c>
      <c r="D69" s="374">
        <f t="shared" si="1"/>
        <v>575.18344909044515</v>
      </c>
      <c r="E69" s="374">
        <f t="shared" si="1"/>
        <v>500.64512718250216</v>
      </c>
      <c r="F69" s="374">
        <f t="shared" si="1"/>
        <v>443.67512925055917</v>
      </c>
      <c r="G69" s="375">
        <f t="shared" si="1"/>
        <v>398.72463669933472</v>
      </c>
    </row>
    <row r="73" spans="1:7" x14ac:dyDescent="0.25">
      <c r="A73" s="36"/>
    </row>
    <row r="74" spans="1:7" x14ac:dyDescent="0.25">
      <c r="A74" s="36"/>
    </row>
    <row r="75" spans="1:7" x14ac:dyDescent="0.25">
      <c r="A75" s="36"/>
    </row>
    <row r="76" spans="1:7" x14ac:dyDescent="0.25">
      <c r="A76" s="36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67826-8B60-4FC6-A0B4-2DB49412B497}">
  <dimension ref="A1:S560"/>
  <sheetViews>
    <sheetView showGridLines="0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5.75" x14ac:dyDescent="0.25"/>
  <cols>
    <col min="1" max="2" width="3.75" customWidth="1"/>
    <col min="3" max="3" width="43.25" customWidth="1"/>
    <col min="4" max="4" width="10.625" style="18" customWidth="1"/>
    <col min="5" max="14" width="11.375" bestFit="1" customWidth="1"/>
    <col min="15" max="15" width="9.875" bestFit="1" customWidth="1"/>
  </cols>
  <sheetData>
    <row r="1" spans="1:19" x14ac:dyDescent="0.25">
      <c r="A1" s="6"/>
      <c r="E1" s="8" t="s">
        <v>15</v>
      </c>
      <c r="F1" s="9"/>
      <c r="G1" s="9"/>
      <c r="H1" s="9"/>
      <c r="I1" s="9"/>
      <c r="J1" s="7" t="s">
        <v>16</v>
      </c>
      <c r="K1" s="2"/>
      <c r="L1" s="2"/>
      <c r="M1" s="2"/>
      <c r="N1" s="2"/>
    </row>
    <row r="2" spans="1:19" x14ac:dyDescent="0.25">
      <c r="D2" s="20" t="s">
        <v>49</v>
      </c>
      <c r="E2" s="12">
        <v>2021</v>
      </c>
      <c r="F2" s="12">
        <v>2022</v>
      </c>
      <c r="G2" s="12">
        <v>2023</v>
      </c>
      <c r="H2" s="12">
        <v>2024</v>
      </c>
      <c r="I2" s="12">
        <v>2025</v>
      </c>
      <c r="J2" s="13">
        <v>2026</v>
      </c>
      <c r="K2" s="13">
        <v>2027</v>
      </c>
      <c r="L2" s="13">
        <v>2028</v>
      </c>
      <c r="M2" s="13">
        <v>2029</v>
      </c>
      <c r="N2" s="13">
        <v>2030</v>
      </c>
    </row>
    <row r="3" spans="1:19" x14ac:dyDescent="0.25">
      <c r="A3" s="32" t="s">
        <v>59</v>
      </c>
      <c r="B3" s="33"/>
      <c r="C3" s="33"/>
      <c r="D3" s="24"/>
      <c r="E3" s="34"/>
      <c r="F3" s="34"/>
      <c r="G3" s="34"/>
      <c r="H3" s="34"/>
      <c r="I3" s="34"/>
      <c r="J3" s="34"/>
      <c r="K3" s="34"/>
      <c r="L3" s="34"/>
      <c r="M3" s="34"/>
      <c r="N3" s="35"/>
    </row>
    <row r="4" spans="1:19" x14ac:dyDescent="0.25">
      <c r="A4" s="36"/>
      <c r="B4" t="s">
        <v>58</v>
      </c>
      <c r="C4" s="17"/>
      <c r="D4" s="23" t="s">
        <v>50</v>
      </c>
      <c r="E4" s="142">
        <v>32.299999999999997</v>
      </c>
      <c r="F4" s="142">
        <v>33.799999999999997</v>
      </c>
      <c r="G4" s="142">
        <v>34.299999999999997</v>
      </c>
      <c r="H4" s="142">
        <v>36.5</v>
      </c>
      <c r="I4" s="142">
        <v>40.299999999999997</v>
      </c>
      <c r="J4" s="143">
        <f>I4+J7</f>
        <v>43.5</v>
      </c>
      <c r="K4" s="143">
        <f t="shared" ref="K4:N4" si="0">J4+K7</f>
        <v>44.1</v>
      </c>
      <c r="L4" s="143">
        <f t="shared" si="0"/>
        <v>46.4</v>
      </c>
      <c r="M4" s="143">
        <f t="shared" si="0"/>
        <v>48.43333333333333</v>
      </c>
      <c r="N4" s="144">
        <f t="shared" si="0"/>
        <v>50.077777777777776</v>
      </c>
    </row>
    <row r="5" spans="1:19" x14ac:dyDescent="0.25">
      <c r="A5" s="36"/>
      <c r="C5" s="17" t="s">
        <v>68</v>
      </c>
      <c r="D5" s="23" t="s">
        <v>50</v>
      </c>
      <c r="E5" s="142">
        <v>2.7</v>
      </c>
      <c r="F5" s="142">
        <v>3.1</v>
      </c>
      <c r="G5" s="142">
        <v>3.1</v>
      </c>
      <c r="H5" s="142">
        <v>3.1</v>
      </c>
      <c r="I5" s="142">
        <v>3.1</v>
      </c>
      <c r="J5" s="143">
        <f t="shared" ref="J5:N5" si="1">I5</f>
        <v>3.1</v>
      </c>
      <c r="K5" s="143">
        <f t="shared" si="1"/>
        <v>3.1</v>
      </c>
      <c r="L5" s="143">
        <f t="shared" si="1"/>
        <v>3.1</v>
      </c>
      <c r="M5" s="143">
        <f t="shared" si="1"/>
        <v>3.1</v>
      </c>
      <c r="N5" s="144">
        <f t="shared" si="1"/>
        <v>3.1</v>
      </c>
    </row>
    <row r="6" spans="1:19" x14ac:dyDescent="0.25">
      <c r="A6" s="36"/>
      <c r="B6" s="4" t="s">
        <v>83</v>
      </c>
      <c r="C6" s="28"/>
      <c r="D6" s="29" t="s">
        <v>50</v>
      </c>
      <c r="E6" s="145">
        <f t="shared" ref="E6:N6" si="2">E4-E5</f>
        <v>29.599999999999998</v>
      </c>
      <c r="F6" s="145">
        <f t="shared" si="2"/>
        <v>30.699999999999996</v>
      </c>
      <c r="G6" s="145">
        <f t="shared" si="2"/>
        <v>31.199999999999996</v>
      </c>
      <c r="H6" s="145">
        <f t="shared" si="2"/>
        <v>33.4</v>
      </c>
      <c r="I6" s="145">
        <f t="shared" si="2"/>
        <v>37.199999999999996</v>
      </c>
      <c r="J6" s="146">
        <f t="shared" si="2"/>
        <v>40.4</v>
      </c>
      <c r="K6" s="146">
        <f t="shared" si="2"/>
        <v>41</v>
      </c>
      <c r="L6" s="146">
        <f t="shared" si="2"/>
        <v>43.3</v>
      </c>
      <c r="M6" s="146">
        <f t="shared" si="2"/>
        <v>45.333333333333329</v>
      </c>
      <c r="N6" s="147">
        <f t="shared" si="2"/>
        <v>46.977777777777774</v>
      </c>
    </row>
    <row r="7" spans="1:19" x14ac:dyDescent="0.25">
      <c r="A7" s="37"/>
      <c r="B7" t="s">
        <v>54</v>
      </c>
      <c r="C7" s="17"/>
      <c r="D7" s="23" t="s">
        <v>50</v>
      </c>
      <c r="E7" s="142"/>
      <c r="F7" s="142"/>
      <c r="G7" s="142"/>
      <c r="H7" s="142"/>
      <c r="I7" s="142"/>
      <c r="J7" s="148">
        <v>3.2</v>
      </c>
      <c r="K7" s="148">
        <v>0.6</v>
      </c>
      <c r="L7" s="148">
        <v>2.2999999999999998</v>
      </c>
      <c r="M7" s="143">
        <f t="shared" ref="M7:N7" si="3">AVERAGE(J7:L7)</f>
        <v>2.0333333333333332</v>
      </c>
      <c r="N7" s="144">
        <f t="shared" si="3"/>
        <v>1.6444444444444446</v>
      </c>
    </row>
    <row r="8" spans="1:19" x14ac:dyDescent="0.25">
      <c r="A8" s="37"/>
      <c r="B8" t="s">
        <v>53</v>
      </c>
      <c r="C8" s="17"/>
      <c r="D8" s="23" t="s">
        <v>50</v>
      </c>
      <c r="E8" s="142"/>
      <c r="F8" s="142"/>
      <c r="G8" s="142"/>
      <c r="H8" s="142"/>
      <c r="I8" s="142"/>
      <c r="J8" s="149">
        <f>(0.4*9/12)+(0.6*9/12)+(0.8*6/12)+(1.4*1/12)</f>
        <v>1.2666666666666668</v>
      </c>
      <c r="K8" s="149">
        <f>K7*9/12</f>
        <v>0.44999999999999996</v>
      </c>
      <c r="L8" s="149">
        <f>(0.4*9/12)+(0.9*9/12)+(1*6/12)</f>
        <v>1.4749999999999999</v>
      </c>
      <c r="M8" s="143">
        <f>M7*((AVERAGE((J8/J7),(K8/K7 ),(L8/L7 ))))</f>
        <v>1.2112822061191626</v>
      </c>
      <c r="N8" s="144">
        <f>N7*(1 + (AVERAGE((K8/K7-1),(L8/L7 -1),(M8/M7 -1))))</f>
        <v>1.0891796385757739</v>
      </c>
      <c r="O8" s="27"/>
      <c r="P8" s="15"/>
      <c r="Q8" s="15"/>
    </row>
    <row r="9" spans="1:19" x14ac:dyDescent="0.25">
      <c r="A9" s="36"/>
      <c r="B9" t="s">
        <v>52</v>
      </c>
      <c r="C9" s="17"/>
      <c r="D9" s="23" t="s">
        <v>51</v>
      </c>
      <c r="E9" s="47">
        <v>0.89</v>
      </c>
      <c r="F9" s="47">
        <v>0.87</v>
      </c>
      <c r="G9" s="47">
        <v>0.86</v>
      </c>
      <c r="H9" s="47">
        <v>0.85</v>
      </c>
      <c r="I9" s="47">
        <v>0.87</v>
      </c>
      <c r="J9" s="48">
        <v>0.89</v>
      </c>
      <c r="K9" s="48">
        <f t="shared" ref="K9:N9" si="4">J9+0.01</f>
        <v>0.9</v>
      </c>
      <c r="L9" s="48">
        <f t="shared" si="4"/>
        <v>0.91</v>
      </c>
      <c r="M9" s="48">
        <f t="shared" si="4"/>
        <v>0.92</v>
      </c>
      <c r="N9" s="49">
        <f t="shared" si="4"/>
        <v>0.93</v>
      </c>
    </row>
    <row r="10" spans="1:19" x14ac:dyDescent="0.25">
      <c r="A10" s="36"/>
      <c r="C10" s="38" t="s">
        <v>71</v>
      </c>
      <c r="D10" s="23" t="s">
        <v>51</v>
      </c>
      <c r="E10" s="47">
        <v>0.97199999999999998</v>
      </c>
      <c r="F10" s="47">
        <v>0.94199999999999995</v>
      </c>
      <c r="G10" s="47">
        <v>0.97</v>
      </c>
      <c r="H10" s="47">
        <v>0.95</v>
      </c>
      <c r="I10" s="47">
        <v>1</v>
      </c>
      <c r="J10" s="48">
        <f>I10</f>
        <v>1</v>
      </c>
      <c r="K10" s="48">
        <f t="shared" ref="K10:N10" si="5">J10</f>
        <v>1</v>
      </c>
      <c r="L10" s="48">
        <f t="shared" si="5"/>
        <v>1</v>
      </c>
      <c r="M10" s="48">
        <f t="shared" si="5"/>
        <v>1</v>
      </c>
      <c r="N10" s="49">
        <f t="shared" si="5"/>
        <v>1</v>
      </c>
    </row>
    <row r="11" spans="1:19" x14ac:dyDescent="0.25">
      <c r="A11" s="37"/>
      <c r="B11" t="s">
        <v>80</v>
      </c>
      <c r="C11" s="17"/>
      <c r="D11" s="23" t="s">
        <v>55</v>
      </c>
      <c r="E11" s="142">
        <v>71</v>
      </c>
      <c r="F11" s="142">
        <v>75</v>
      </c>
      <c r="G11" s="142">
        <v>80</v>
      </c>
      <c r="H11" s="142">
        <v>90</v>
      </c>
      <c r="I11" s="142">
        <v>94</v>
      </c>
      <c r="J11" s="143">
        <f>I11*(1+J16)</f>
        <v>98.482817998134834</v>
      </c>
      <c r="K11" s="143">
        <f>J11*(1+K16)</f>
        <v>103.17941958355054</v>
      </c>
      <c r="L11" s="143">
        <f>K11*(1+L16)</f>
        <v>108.09999999999998</v>
      </c>
      <c r="M11" s="143">
        <f>L11*(1+M16)</f>
        <v>113.25524069785504</v>
      </c>
      <c r="N11" s="144">
        <f>M11*(1+N16)</f>
        <v>118.65633252108312</v>
      </c>
      <c r="P11" s="21"/>
      <c r="Q11" s="21"/>
      <c r="R11" s="21"/>
      <c r="S11" s="21"/>
    </row>
    <row r="12" spans="1:19" x14ac:dyDescent="0.25">
      <c r="A12" s="37"/>
      <c r="C12" s="38" t="s">
        <v>72</v>
      </c>
      <c r="D12" s="23" t="s">
        <v>55</v>
      </c>
      <c r="E12" s="142">
        <v>119</v>
      </c>
      <c r="F12" s="142">
        <v>128</v>
      </c>
      <c r="G12" s="142">
        <v>131</v>
      </c>
      <c r="H12" s="142">
        <v>149</v>
      </c>
      <c r="I12" s="142">
        <v>156</v>
      </c>
      <c r="J12" s="143">
        <f>I12*(1+J16)</f>
        <v>163.43957029477696</v>
      </c>
      <c r="K12" s="143">
        <f>J12*(1+K16)</f>
        <v>171.23393037270091</v>
      </c>
      <c r="L12" s="143">
        <f>K12*(1+L16)</f>
        <v>179.39999999999998</v>
      </c>
      <c r="M12" s="143">
        <f>L12*(1+M16)</f>
        <v>187.9555058389935</v>
      </c>
      <c r="N12" s="144">
        <f>M12*(1+N16)</f>
        <v>196.91901992860605</v>
      </c>
      <c r="P12" s="21"/>
      <c r="Q12" s="21"/>
      <c r="R12" s="21"/>
      <c r="S12" s="21"/>
    </row>
    <row r="13" spans="1:19" x14ac:dyDescent="0.25">
      <c r="A13" s="37"/>
      <c r="C13" t="s">
        <v>73</v>
      </c>
      <c r="D13" s="23" t="s">
        <v>69</v>
      </c>
      <c r="E13" s="150">
        <f>'Revenue Schedule'!E4*'Data &amp; Assumptions'!E11*12</f>
        <v>24492.443999999996</v>
      </c>
      <c r="F13" s="150">
        <f>'Revenue Schedule'!F4*'Data &amp; Assumptions'!F11*12</f>
        <v>26465.399999999998</v>
      </c>
      <c r="G13" s="150">
        <f>'Revenue Schedule'!G4*'Data &amp; Assumptions'!G11*12</f>
        <v>28318.079999999994</v>
      </c>
      <c r="H13" s="150">
        <f>'Revenue Schedule'!H4*'Data &amp; Assumptions'!H11*12</f>
        <v>33507</v>
      </c>
      <c r="I13" s="150">
        <f>'Revenue Schedule'!I4*'Data &amp; Assumptions'!I11*12</f>
        <v>39548.807999999997</v>
      </c>
      <c r="J13" s="151">
        <f>'Revenue Schedule'!J4*'Data &amp; Assumptions'!J11*12</f>
        <v>45753.14758557349</v>
      </c>
      <c r="K13" s="151">
        <f>'Revenue Schedule'!K4*'Data &amp; Assumptions'!K11*12</f>
        <v>49142.293959253453</v>
      </c>
      <c r="L13" s="151">
        <f>'Revenue Schedule'!L4*'Data &amp; Assumptions'!L11*12</f>
        <v>54772.972799999989</v>
      </c>
      <c r="M13" s="151">
        <f>'Revenue Schedule'!M4*'Data &amp; Assumptions'!M11*12</f>
        <v>60558.030222105881</v>
      </c>
      <c r="N13" s="152">
        <f>'Revenue Schedule'!N4*'Data &amp; Assumptions'!N11*12</f>
        <v>66313.22724339267</v>
      </c>
      <c r="P13" s="21"/>
      <c r="Q13" s="21"/>
      <c r="R13" s="21"/>
      <c r="S13" s="21"/>
    </row>
    <row r="14" spans="1:19" x14ac:dyDescent="0.25">
      <c r="A14" s="37"/>
      <c r="C14" t="s">
        <v>74</v>
      </c>
      <c r="D14" s="23" t="s">
        <v>69</v>
      </c>
      <c r="E14" s="150">
        <f>E5*E10*E12*12</f>
        <v>3747.6432000000004</v>
      </c>
      <c r="F14" s="150">
        <f t="shared" ref="F14:N14" si="6">F5*F10*F12*12</f>
        <v>4485.4272000000001</v>
      </c>
      <c r="G14" s="150">
        <f t="shared" si="6"/>
        <v>4727.0040000000008</v>
      </c>
      <c r="H14" s="150">
        <f t="shared" si="6"/>
        <v>5265.66</v>
      </c>
      <c r="I14" s="150">
        <f t="shared" si="6"/>
        <v>5803.2000000000007</v>
      </c>
      <c r="J14" s="151">
        <f t="shared" si="6"/>
        <v>6079.9520149657037</v>
      </c>
      <c r="K14" s="151">
        <f t="shared" si="6"/>
        <v>6369.9022098644746</v>
      </c>
      <c r="L14" s="151">
        <f t="shared" si="6"/>
        <v>6673.68</v>
      </c>
      <c r="M14" s="151">
        <f t="shared" si="6"/>
        <v>6991.9448172105585</v>
      </c>
      <c r="N14" s="152">
        <f t="shared" si="6"/>
        <v>7325.3875413441447</v>
      </c>
      <c r="P14" s="21"/>
      <c r="Q14" s="21"/>
      <c r="R14" s="21"/>
      <c r="S14" s="21"/>
    </row>
    <row r="15" spans="1:19" x14ac:dyDescent="0.25">
      <c r="A15" s="37"/>
      <c r="B15" s="3" t="s">
        <v>75</v>
      </c>
      <c r="C15" s="28"/>
      <c r="D15" s="29" t="s">
        <v>69</v>
      </c>
      <c r="E15" s="153">
        <f t="shared" ref="E15:I15" si="7">E13-E14</f>
        <v>20744.800799999997</v>
      </c>
      <c r="F15" s="153">
        <f t="shared" si="7"/>
        <v>21979.972799999996</v>
      </c>
      <c r="G15" s="153">
        <f t="shared" si="7"/>
        <v>23591.075999999994</v>
      </c>
      <c r="H15" s="153">
        <f t="shared" si="7"/>
        <v>28241.34</v>
      </c>
      <c r="I15" s="153">
        <f t="shared" si="7"/>
        <v>33745.607999999993</v>
      </c>
      <c r="J15" s="154">
        <f t="shared" ref="J15" si="8">J13-J14</f>
        <v>39673.195570607786</v>
      </c>
      <c r="K15" s="154">
        <f t="shared" ref="K15" si="9">K13-K14</f>
        <v>42772.391749388975</v>
      </c>
      <c r="L15" s="154">
        <f t="shared" ref="L15" si="10">L13-L14</f>
        <v>48099.292799999988</v>
      </c>
      <c r="M15" s="154">
        <f t="shared" ref="M15" si="11">M13-M14</f>
        <v>53566.085404895319</v>
      </c>
      <c r="N15" s="155">
        <f t="shared" ref="N15" si="12">N13-N14</f>
        <v>58987.839702048528</v>
      </c>
      <c r="P15" s="21"/>
      <c r="Q15" s="21"/>
      <c r="R15" s="21"/>
      <c r="S15" s="21"/>
    </row>
    <row r="16" spans="1:19" x14ac:dyDescent="0.25">
      <c r="A16" s="37"/>
      <c r="B16" s="17"/>
      <c r="C16" s="38" t="s">
        <v>78</v>
      </c>
      <c r="D16" s="39" t="s">
        <v>51</v>
      </c>
      <c r="E16" s="50"/>
      <c r="F16" s="51"/>
      <c r="G16" s="51"/>
      <c r="H16" s="51"/>
      <c r="I16" s="51"/>
      <c r="J16" s="52">
        <f>(1.15^(1/3))-1</f>
        <v>4.7689553171647248E-2</v>
      </c>
      <c r="K16" s="52">
        <f t="shared" ref="K16:N16" si="13">(1.15^(1/3))-1</f>
        <v>4.7689553171647248E-2</v>
      </c>
      <c r="L16" s="52">
        <f t="shared" si="13"/>
        <v>4.7689553171647248E-2</v>
      </c>
      <c r="M16" s="52">
        <f t="shared" si="13"/>
        <v>4.7689553171647248E-2</v>
      </c>
      <c r="N16" s="53">
        <f t="shared" si="13"/>
        <v>4.7689553171647248E-2</v>
      </c>
    </row>
    <row r="17" spans="1:14" x14ac:dyDescent="0.25">
      <c r="A17" s="37"/>
      <c r="B17" s="17" t="s">
        <v>56</v>
      </c>
      <c r="C17" s="17"/>
      <c r="D17" s="23" t="s">
        <v>55</v>
      </c>
      <c r="E17" s="142">
        <v>91</v>
      </c>
      <c r="F17" s="142">
        <v>93</v>
      </c>
      <c r="G17" s="142">
        <v>94</v>
      </c>
      <c r="H17" s="142">
        <v>95</v>
      </c>
      <c r="I17" s="142">
        <v>104</v>
      </c>
      <c r="J17" s="143">
        <f t="shared" ref="J17:N17" si="14">I17*(1+J18)</f>
        <v>109.2</v>
      </c>
      <c r="K17" s="143">
        <f t="shared" si="14"/>
        <v>114.66000000000001</v>
      </c>
      <c r="L17" s="143">
        <f t="shared" si="14"/>
        <v>120.39300000000001</v>
      </c>
      <c r="M17" s="143">
        <f t="shared" si="14"/>
        <v>126.41265000000003</v>
      </c>
      <c r="N17" s="144">
        <f t="shared" si="14"/>
        <v>132.73328250000003</v>
      </c>
    </row>
    <row r="18" spans="1:14" x14ac:dyDescent="0.25">
      <c r="A18" s="37"/>
      <c r="B18" s="17"/>
      <c r="C18" s="38" t="s">
        <v>65</v>
      </c>
      <c r="D18" s="39" t="s">
        <v>51</v>
      </c>
      <c r="E18" s="54"/>
      <c r="F18" s="55">
        <f t="shared" ref="F18:I18" si="15">F17/E17 - 1</f>
        <v>2.19780219780219E-2</v>
      </c>
      <c r="G18" s="55">
        <f t="shared" si="15"/>
        <v>1.0752688172043001E-2</v>
      </c>
      <c r="H18" s="55">
        <f t="shared" si="15"/>
        <v>1.0638297872340496E-2</v>
      </c>
      <c r="I18" s="55">
        <f t="shared" si="15"/>
        <v>9.473684210526323E-2</v>
      </c>
      <c r="J18" s="130">
        <v>0.05</v>
      </c>
      <c r="K18" s="130">
        <v>0.05</v>
      </c>
      <c r="L18" s="130">
        <v>0.05</v>
      </c>
      <c r="M18" s="130">
        <v>0.05</v>
      </c>
      <c r="N18" s="131">
        <v>0.05</v>
      </c>
    </row>
    <row r="19" spans="1:14" x14ac:dyDescent="0.25">
      <c r="A19" s="37"/>
      <c r="B19" s="17"/>
      <c r="C19" s="38"/>
      <c r="D19" s="39"/>
      <c r="E19" s="54"/>
      <c r="F19" s="56"/>
      <c r="G19" s="56"/>
      <c r="H19" s="56"/>
      <c r="I19" s="56"/>
      <c r="J19" s="56"/>
      <c r="K19" s="56"/>
      <c r="L19" s="56"/>
      <c r="M19" s="56"/>
      <c r="N19" s="57"/>
    </row>
    <row r="20" spans="1:14" x14ac:dyDescent="0.25">
      <c r="A20" s="44" t="s">
        <v>85</v>
      </c>
      <c r="B20" s="17"/>
      <c r="C20" s="17"/>
      <c r="D20" s="23"/>
      <c r="E20" s="58"/>
      <c r="F20" s="59"/>
      <c r="G20" s="59"/>
      <c r="H20" s="59"/>
      <c r="I20" s="59"/>
      <c r="J20" s="60"/>
      <c r="K20" s="60"/>
      <c r="L20" s="60"/>
      <c r="M20" s="60"/>
      <c r="N20" s="61"/>
    </row>
    <row r="21" spans="1:14" x14ac:dyDescent="0.25">
      <c r="A21" s="37"/>
      <c r="B21" t="s">
        <v>60</v>
      </c>
      <c r="C21" s="17"/>
      <c r="D21" s="23" t="s">
        <v>50</v>
      </c>
      <c r="E21" s="142">
        <v>1.3540000000000001</v>
      </c>
      <c r="F21" s="142">
        <v>1.8939999999999999</v>
      </c>
      <c r="G21" s="142">
        <v>3.07</v>
      </c>
      <c r="H21" s="142">
        <v>2.4889999999999999</v>
      </c>
      <c r="I21" s="142">
        <v>2.13</v>
      </c>
      <c r="J21" s="156">
        <v>1.1479999999999999</v>
      </c>
      <c r="K21" s="156">
        <v>0.76700000000000002</v>
      </c>
      <c r="L21" s="156">
        <v>2.3540000000000001</v>
      </c>
      <c r="M21" s="156">
        <v>3.141</v>
      </c>
      <c r="N21" s="144">
        <f>0.07*'Revenue Schedule'!N4</f>
        <v>3.2600633333333335</v>
      </c>
    </row>
    <row r="22" spans="1:14" x14ac:dyDescent="0.25">
      <c r="A22" s="37"/>
      <c r="B22" t="s">
        <v>61</v>
      </c>
      <c r="C22" s="17"/>
      <c r="D22" s="23" t="s">
        <v>55</v>
      </c>
      <c r="E22" s="142">
        <v>66</v>
      </c>
      <c r="F22" s="142">
        <v>57</v>
      </c>
      <c r="G22" s="142">
        <v>53</v>
      </c>
      <c r="H22" s="142">
        <v>70</v>
      </c>
      <c r="I22" s="142">
        <v>64</v>
      </c>
      <c r="J22" s="156">
        <v>98</v>
      </c>
      <c r="K22" s="156">
        <v>88</v>
      </c>
      <c r="L22" s="156">
        <v>103</v>
      </c>
      <c r="M22" s="156">
        <v>96</v>
      </c>
      <c r="N22" s="157">
        <v>100</v>
      </c>
    </row>
    <row r="23" spans="1:14" x14ac:dyDescent="0.25">
      <c r="A23" s="40"/>
      <c r="B23" s="45" t="s">
        <v>62</v>
      </c>
      <c r="C23" s="41"/>
      <c r="D23" s="46" t="s">
        <v>51</v>
      </c>
      <c r="E23" s="62">
        <v>0.12</v>
      </c>
      <c r="F23" s="62">
        <v>0.47</v>
      </c>
      <c r="G23" s="62">
        <v>0.32</v>
      </c>
      <c r="H23" s="62">
        <v>0.28000000000000003</v>
      </c>
      <c r="I23" s="62">
        <v>0.33</v>
      </c>
      <c r="J23" s="63">
        <v>-0.02</v>
      </c>
      <c r="K23" s="63">
        <v>-0.01</v>
      </c>
      <c r="L23" s="63">
        <v>0.14000000000000001</v>
      </c>
      <c r="M23" s="63">
        <v>0.14000000000000001</v>
      </c>
      <c r="N23" s="129">
        <v>0.1</v>
      </c>
    </row>
    <row r="24" spans="1:14" x14ac:dyDescent="0.25">
      <c r="A24" s="17"/>
      <c r="C24" s="17"/>
      <c r="D24" s="23"/>
      <c r="E24" s="64"/>
      <c r="F24" s="64"/>
      <c r="G24" s="64"/>
      <c r="H24" s="64"/>
      <c r="I24" s="64"/>
      <c r="J24" s="64"/>
      <c r="K24" s="64"/>
      <c r="L24" s="64"/>
      <c r="M24" s="64"/>
      <c r="N24" s="65"/>
    </row>
    <row r="25" spans="1:14" x14ac:dyDescent="0.25">
      <c r="A25" s="32" t="s">
        <v>88</v>
      </c>
      <c r="B25" s="3"/>
      <c r="C25" s="33"/>
      <c r="D25" s="29"/>
      <c r="E25" s="66"/>
      <c r="F25" s="66"/>
      <c r="G25" s="66"/>
      <c r="H25" s="66"/>
      <c r="I25" s="66"/>
      <c r="J25" s="66"/>
      <c r="K25" s="66"/>
      <c r="L25" s="66"/>
      <c r="M25" s="66"/>
      <c r="N25" s="67"/>
    </row>
    <row r="26" spans="1:14" x14ac:dyDescent="0.25">
      <c r="A26" s="37"/>
      <c r="B26" t="s">
        <v>89</v>
      </c>
      <c r="C26" s="17"/>
      <c r="D26" s="23" t="s">
        <v>90</v>
      </c>
      <c r="E26" s="158">
        <v>100</v>
      </c>
      <c r="F26" s="158">
        <v>100</v>
      </c>
      <c r="G26" s="158">
        <v>100</v>
      </c>
      <c r="H26" s="158">
        <v>100</v>
      </c>
      <c r="I26" s="158">
        <v>100</v>
      </c>
      <c r="J26" s="159">
        <f>I26</f>
        <v>100</v>
      </c>
      <c r="K26" s="159">
        <f t="shared" ref="K26:N26" si="16">J26</f>
        <v>100</v>
      </c>
      <c r="L26" s="159">
        <f t="shared" si="16"/>
        <v>100</v>
      </c>
      <c r="M26" s="159">
        <f t="shared" si="16"/>
        <v>100</v>
      </c>
      <c r="N26" s="160">
        <f t="shared" si="16"/>
        <v>100</v>
      </c>
    </row>
    <row r="27" spans="1:14" x14ac:dyDescent="0.25">
      <c r="A27" s="37"/>
      <c r="B27" t="s">
        <v>91</v>
      </c>
      <c r="C27" s="17"/>
      <c r="D27" s="23" t="s">
        <v>92</v>
      </c>
      <c r="E27" s="158">
        <v>190</v>
      </c>
      <c r="F27" s="158">
        <v>177</v>
      </c>
      <c r="G27" s="158">
        <v>185</v>
      </c>
      <c r="H27" s="158">
        <v>195</v>
      </c>
      <c r="I27" s="158">
        <v>141</v>
      </c>
      <c r="J27" s="161">
        <v>150</v>
      </c>
      <c r="K27" s="161">
        <v>155</v>
      </c>
      <c r="L27" s="161">
        <v>160</v>
      </c>
      <c r="M27" s="159">
        <f t="shared" ref="M27:N27" si="17">L27</f>
        <v>160</v>
      </c>
      <c r="N27" s="160">
        <f t="shared" si="17"/>
        <v>160</v>
      </c>
    </row>
    <row r="28" spans="1:14" x14ac:dyDescent="0.25">
      <c r="A28" s="37"/>
      <c r="B28" t="s">
        <v>93</v>
      </c>
      <c r="C28" s="17"/>
      <c r="D28" s="23" t="s">
        <v>92</v>
      </c>
      <c r="E28" s="158">
        <v>183</v>
      </c>
      <c r="F28" s="158">
        <v>176</v>
      </c>
      <c r="G28" s="158">
        <v>185</v>
      </c>
      <c r="H28" s="158">
        <v>195</v>
      </c>
      <c r="I28" s="158">
        <v>141</v>
      </c>
      <c r="J28" s="159">
        <f>J27*J29</f>
        <v>150</v>
      </c>
      <c r="K28" s="159">
        <f t="shared" ref="K28:N28" si="18">K27*K29</f>
        <v>155</v>
      </c>
      <c r="L28" s="159">
        <f t="shared" si="18"/>
        <v>160</v>
      </c>
      <c r="M28" s="159">
        <f t="shared" si="18"/>
        <v>160</v>
      </c>
      <c r="N28" s="160">
        <f t="shared" si="18"/>
        <v>160</v>
      </c>
    </row>
    <row r="29" spans="1:14" x14ac:dyDescent="0.25">
      <c r="A29" s="37"/>
      <c r="C29" s="38" t="s">
        <v>94</v>
      </c>
      <c r="D29" s="39" t="s">
        <v>51</v>
      </c>
      <c r="E29" s="68">
        <f>E28/E27</f>
        <v>0.9631578947368421</v>
      </c>
      <c r="F29" s="68">
        <f>F28/F27</f>
        <v>0.99435028248587576</v>
      </c>
      <c r="G29" s="68">
        <f>G28/G27</f>
        <v>1</v>
      </c>
      <c r="H29" s="68">
        <f>H28/H27</f>
        <v>1</v>
      </c>
      <c r="I29" s="68">
        <f>I28/I27</f>
        <v>1</v>
      </c>
      <c r="J29" s="69">
        <f>I29</f>
        <v>1</v>
      </c>
      <c r="K29" s="69">
        <f t="shared" ref="K29:N29" si="19">J29</f>
        <v>1</v>
      </c>
      <c r="L29" s="69">
        <f t="shared" si="19"/>
        <v>1</v>
      </c>
      <c r="M29" s="69">
        <f t="shared" si="19"/>
        <v>1</v>
      </c>
      <c r="N29" s="70">
        <f t="shared" si="19"/>
        <v>1</v>
      </c>
    </row>
    <row r="30" spans="1:14" x14ac:dyDescent="0.25">
      <c r="A30" s="37"/>
      <c r="B30" t="s">
        <v>95</v>
      </c>
      <c r="C30" s="17"/>
      <c r="D30" s="23" t="s">
        <v>96</v>
      </c>
      <c r="E30" s="158">
        <v>8.4</v>
      </c>
      <c r="F30" s="158">
        <v>8.5</v>
      </c>
      <c r="G30" s="158">
        <v>8.6999999999999993</v>
      </c>
      <c r="H30" s="158">
        <v>8.14</v>
      </c>
      <c r="I30" s="158">
        <v>7</v>
      </c>
      <c r="J30" s="159">
        <f>I30*(1+J31)</f>
        <v>7.1400000000000006</v>
      </c>
      <c r="K30" s="159">
        <f t="shared" ref="K30:N30" si="20">J30*(1+K31)</f>
        <v>7.2828000000000008</v>
      </c>
      <c r="L30" s="159">
        <f t="shared" si="20"/>
        <v>7.4284560000000006</v>
      </c>
      <c r="M30" s="159">
        <f t="shared" si="20"/>
        <v>7.5770251200000009</v>
      </c>
      <c r="N30" s="160">
        <f t="shared" si="20"/>
        <v>7.7285656224000014</v>
      </c>
    </row>
    <row r="31" spans="1:14" x14ac:dyDescent="0.25">
      <c r="A31" s="40"/>
      <c r="B31" s="45"/>
      <c r="C31" s="42" t="s">
        <v>57</v>
      </c>
      <c r="D31" s="43" t="s">
        <v>51</v>
      </c>
      <c r="E31" s="71"/>
      <c r="F31" s="72">
        <f>F30/E30 - 1</f>
        <v>1.1904761904761862E-2</v>
      </c>
      <c r="G31" s="72">
        <f t="shared" ref="G31:I31" si="21">G30/F30 - 1</f>
        <v>2.3529411764705799E-2</v>
      </c>
      <c r="H31" s="72">
        <f t="shared" si="21"/>
        <v>-6.4367816091953856E-2</v>
      </c>
      <c r="I31" s="72">
        <f t="shared" si="21"/>
        <v>-0.14004914004914015</v>
      </c>
      <c r="J31" s="73">
        <v>0.02</v>
      </c>
      <c r="K31" s="73">
        <f>J31</f>
        <v>0.02</v>
      </c>
      <c r="L31" s="73">
        <f t="shared" ref="L31:N31" si="22">K31</f>
        <v>0.02</v>
      </c>
      <c r="M31" s="73">
        <f t="shared" si="22"/>
        <v>0.02</v>
      </c>
      <c r="N31" s="74">
        <f t="shared" si="22"/>
        <v>0.02</v>
      </c>
    </row>
    <row r="32" spans="1:14" x14ac:dyDescent="0.25">
      <c r="A32" s="17"/>
      <c r="C32" s="38"/>
      <c r="D32" s="39"/>
      <c r="E32" s="75"/>
      <c r="F32" s="68"/>
      <c r="G32" s="68"/>
      <c r="H32" s="68"/>
      <c r="I32" s="68"/>
      <c r="J32" s="68"/>
      <c r="K32" s="68"/>
      <c r="L32" s="68"/>
      <c r="M32" s="68"/>
      <c r="N32" s="68"/>
    </row>
    <row r="33" spans="1:14" x14ac:dyDescent="0.25">
      <c r="A33" s="32" t="s">
        <v>97</v>
      </c>
      <c r="B33" s="3"/>
      <c r="C33" s="83"/>
      <c r="D33" s="84"/>
      <c r="E33" s="85"/>
      <c r="F33" s="86"/>
      <c r="G33" s="86"/>
      <c r="H33" s="86"/>
      <c r="I33" s="86"/>
      <c r="J33" s="86"/>
      <c r="K33" s="86"/>
      <c r="L33" s="86"/>
      <c r="M33" s="86"/>
      <c r="N33" s="87"/>
    </row>
    <row r="34" spans="1:14" x14ac:dyDescent="0.25">
      <c r="A34" s="37"/>
      <c r="B34" t="s">
        <v>100</v>
      </c>
      <c r="C34" s="38"/>
      <c r="D34" s="23" t="s">
        <v>106</v>
      </c>
      <c r="E34" s="158">
        <v>477</v>
      </c>
      <c r="F34" s="158">
        <v>830</v>
      </c>
      <c r="G34" s="158">
        <v>1096</v>
      </c>
      <c r="H34" s="158">
        <v>1096</v>
      </c>
      <c r="I34" s="158">
        <v>1096</v>
      </c>
      <c r="J34" s="159">
        <f>I34</f>
        <v>1096</v>
      </c>
      <c r="K34" s="159">
        <f>J34+K35</f>
        <v>1614</v>
      </c>
      <c r="L34" s="159">
        <f>K34</f>
        <v>1614</v>
      </c>
      <c r="M34" s="159">
        <f t="shared" ref="M34:N34" si="23">L34</f>
        <v>1614</v>
      </c>
      <c r="N34" s="160">
        <f t="shared" si="23"/>
        <v>1614</v>
      </c>
    </row>
    <row r="35" spans="1:14" x14ac:dyDescent="0.25">
      <c r="A35" s="37"/>
      <c r="B35" t="s">
        <v>101</v>
      </c>
      <c r="C35" s="38"/>
      <c r="D35" s="23" t="s">
        <v>106</v>
      </c>
      <c r="E35" s="158"/>
      <c r="F35" s="158"/>
      <c r="G35" s="158"/>
      <c r="H35" s="158"/>
      <c r="I35" s="158"/>
      <c r="J35" s="159"/>
      <c r="K35" s="161">
        <v>518</v>
      </c>
      <c r="L35" s="161">
        <v>518</v>
      </c>
      <c r="M35" s="161">
        <v>518</v>
      </c>
      <c r="N35" s="162">
        <v>518</v>
      </c>
    </row>
    <row r="36" spans="1:14" x14ac:dyDescent="0.25">
      <c r="A36" s="37"/>
      <c r="B36" t="s">
        <v>102</v>
      </c>
      <c r="C36" s="38"/>
      <c r="D36" s="23" t="s">
        <v>106</v>
      </c>
      <c r="E36" s="158"/>
      <c r="F36" s="158"/>
      <c r="G36" s="158"/>
      <c r="H36" s="158"/>
      <c r="I36" s="158"/>
      <c r="J36" s="159"/>
      <c r="K36" s="159">
        <f>K35*(6/12)</f>
        <v>259</v>
      </c>
      <c r="L36" s="159"/>
      <c r="M36" s="159"/>
      <c r="N36" s="160"/>
    </row>
    <row r="37" spans="1:14" x14ac:dyDescent="0.25">
      <c r="A37" s="37"/>
      <c r="B37" t="s">
        <v>103</v>
      </c>
      <c r="C37" s="38"/>
      <c r="D37" s="23" t="s">
        <v>106</v>
      </c>
      <c r="E37" s="163">
        <f>E36+E34</f>
        <v>477</v>
      </c>
      <c r="F37" s="163">
        <f t="shared" ref="F37:J37" si="24">F36+F34</f>
        <v>830</v>
      </c>
      <c r="G37" s="163">
        <f t="shared" si="24"/>
        <v>1096</v>
      </c>
      <c r="H37" s="163">
        <f t="shared" si="24"/>
        <v>1096</v>
      </c>
      <c r="I37" s="163">
        <f t="shared" si="24"/>
        <v>1096</v>
      </c>
      <c r="J37" s="164">
        <f t="shared" si="24"/>
        <v>1096</v>
      </c>
      <c r="K37" s="164">
        <f>K36+J34</f>
        <v>1355</v>
      </c>
      <c r="L37" s="164">
        <f>L34</f>
        <v>1614</v>
      </c>
      <c r="M37" s="164">
        <f t="shared" ref="M37:N37" si="25">M34</f>
        <v>1614</v>
      </c>
      <c r="N37" s="165">
        <f t="shared" si="25"/>
        <v>1614</v>
      </c>
    </row>
    <row r="38" spans="1:14" x14ac:dyDescent="0.25">
      <c r="A38" s="37"/>
      <c r="C38" s="38"/>
      <c r="D38" s="23"/>
      <c r="E38" s="78"/>
      <c r="F38" s="78"/>
      <c r="G38" s="78"/>
      <c r="H38" s="78"/>
      <c r="I38" s="78"/>
      <c r="J38" s="78"/>
      <c r="K38" s="78"/>
      <c r="L38" s="78"/>
      <c r="M38" s="78"/>
      <c r="N38" s="88"/>
    </row>
    <row r="39" spans="1:14" x14ac:dyDescent="0.25">
      <c r="A39" s="37"/>
      <c r="B39" t="s">
        <v>104</v>
      </c>
      <c r="C39" s="38"/>
      <c r="D39" s="23" t="s">
        <v>51</v>
      </c>
      <c r="E39" s="79">
        <v>0.1</v>
      </c>
      <c r="F39" s="79">
        <v>0.26</v>
      </c>
      <c r="G39" s="79">
        <v>0.5</v>
      </c>
      <c r="H39" s="79">
        <v>0.56000000000000005</v>
      </c>
      <c r="I39" s="79">
        <v>0.63</v>
      </c>
      <c r="J39" s="80">
        <f>I39+1%</f>
        <v>0.64</v>
      </c>
      <c r="K39" s="80">
        <f t="shared" ref="K39:N39" si="26">J39+1%</f>
        <v>0.65</v>
      </c>
      <c r="L39" s="80">
        <f t="shared" si="26"/>
        <v>0.66</v>
      </c>
      <c r="M39" s="80">
        <f t="shared" si="26"/>
        <v>0.67</v>
      </c>
      <c r="N39" s="89">
        <f t="shared" si="26"/>
        <v>0.68</v>
      </c>
    </row>
    <row r="40" spans="1:14" x14ac:dyDescent="0.25">
      <c r="A40" s="37"/>
      <c r="B40" t="s">
        <v>105</v>
      </c>
      <c r="C40" s="38"/>
      <c r="D40" s="23" t="s">
        <v>51</v>
      </c>
      <c r="E40" s="79"/>
      <c r="F40" s="79"/>
      <c r="G40" s="79"/>
      <c r="H40" s="79"/>
      <c r="I40" s="79"/>
      <c r="J40" s="80"/>
      <c r="K40" s="132">
        <v>0.3</v>
      </c>
      <c r="L40" s="132">
        <v>0.5</v>
      </c>
      <c r="M40" s="132">
        <v>0.65</v>
      </c>
      <c r="N40" s="89">
        <f>N39</f>
        <v>0.68</v>
      </c>
    </row>
    <row r="41" spans="1:14" x14ac:dyDescent="0.25">
      <c r="A41" s="37"/>
      <c r="C41" s="38"/>
      <c r="D41" s="23"/>
      <c r="E41" s="79"/>
      <c r="F41" s="79"/>
      <c r="G41" s="79"/>
      <c r="H41" s="79"/>
      <c r="I41" s="79"/>
      <c r="J41" s="82"/>
      <c r="K41" s="82"/>
      <c r="L41" s="82"/>
      <c r="M41" s="82"/>
      <c r="N41" s="90"/>
    </row>
    <row r="42" spans="1:14" x14ac:dyDescent="0.25">
      <c r="A42" s="37"/>
      <c r="B42" t="s">
        <v>108</v>
      </c>
      <c r="C42" s="38"/>
      <c r="D42" s="23" t="s">
        <v>99</v>
      </c>
      <c r="E42" s="158">
        <v>5754</v>
      </c>
      <c r="F42" s="158">
        <v>6044</v>
      </c>
      <c r="G42" s="158">
        <v>9499</v>
      </c>
      <c r="H42" s="158">
        <v>10872</v>
      </c>
      <c r="I42" s="158">
        <v>12174</v>
      </c>
      <c r="J42" s="159">
        <f>I42*(1+J43)</f>
        <v>13147.92</v>
      </c>
      <c r="K42" s="159">
        <f t="shared" ref="K42:N42" si="27">J42*(1+K43)</f>
        <v>14199.753600000002</v>
      </c>
      <c r="L42" s="159">
        <f t="shared" si="27"/>
        <v>15335.733888000002</v>
      </c>
      <c r="M42" s="159">
        <f t="shared" si="27"/>
        <v>16562.592599040003</v>
      </c>
      <c r="N42" s="160">
        <f t="shared" si="27"/>
        <v>17887.600006963203</v>
      </c>
    </row>
    <row r="43" spans="1:14" x14ac:dyDescent="0.25">
      <c r="A43" s="37"/>
      <c r="C43" s="38" t="s">
        <v>111</v>
      </c>
      <c r="D43" s="39" t="s">
        <v>51</v>
      </c>
      <c r="E43" s="76"/>
      <c r="F43" s="76">
        <f>F42/E42 - 1</f>
        <v>5.0399721932568697E-2</v>
      </c>
      <c r="G43" s="76">
        <f t="shared" ref="G43:I43" si="28">G42/F42 - 1</f>
        <v>0.57164129715420242</v>
      </c>
      <c r="H43" s="76">
        <f t="shared" si="28"/>
        <v>0.14454153068744069</v>
      </c>
      <c r="I43" s="76">
        <f t="shared" si="28"/>
        <v>0.11975717439293598</v>
      </c>
      <c r="J43" s="133">
        <v>0.08</v>
      </c>
      <c r="K43" s="69">
        <f>J43</f>
        <v>0.08</v>
      </c>
      <c r="L43" s="69">
        <f t="shared" ref="L43:N43" si="29">K43</f>
        <v>0.08</v>
      </c>
      <c r="M43" s="69">
        <f t="shared" si="29"/>
        <v>0.08</v>
      </c>
      <c r="N43" s="70">
        <f t="shared" si="29"/>
        <v>0.08</v>
      </c>
    </row>
    <row r="44" spans="1:14" x14ac:dyDescent="0.25">
      <c r="A44" s="37"/>
      <c r="B44" t="s">
        <v>107</v>
      </c>
      <c r="C44" s="38"/>
      <c r="D44" s="23" t="s">
        <v>99</v>
      </c>
      <c r="E44" s="158"/>
      <c r="F44" s="158"/>
      <c r="G44" s="158"/>
      <c r="H44" s="158"/>
      <c r="I44" s="158"/>
      <c r="J44" s="159"/>
      <c r="K44" s="161">
        <f>(1000+7000)/2</f>
        <v>4000</v>
      </c>
      <c r="L44" s="159">
        <f>K44*(1+L43)</f>
        <v>4320</v>
      </c>
      <c r="M44" s="159">
        <f t="shared" ref="M44:N44" si="30">L44*(1+M43)</f>
        <v>4665.6000000000004</v>
      </c>
      <c r="N44" s="160">
        <f t="shared" si="30"/>
        <v>5038.8480000000009</v>
      </c>
    </row>
    <row r="45" spans="1:14" x14ac:dyDescent="0.25">
      <c r="A45" s="37"/>
      <c r="C45" s="38"/>
      <c r="D45" s="23"/>
      <c r="E45" s="77"/>
      <c r="F45" s="77"/>
      <c r="G45" s="77"/>
      <c r="H45" s="77"/>
      <c r="I45" s="77"/>
      <c r="J45" s="81"/>
      <c r="K45" s="81"/>
      <c r="L45" s="81"/>
      <c r="M45" s="81"/>
      <c r="N45" s="91"/>
    </row>
    <row r="46" spans="1:14" x14ac:dyDescent="0.25">
      <c r="A46" s="37"/>
      <c r="B46" t="s">
        <v>109</v>
      </c>
      <c r="C46" s="38"/>
      <c r="D46" s="23" t="s">
        <v>99</v>
      </c>
      <c r="E46" s="166">
        <f t="shared" ref="E46:I46" si="31">E39*E42</f>
        <v>575.4</v>
      </c>
      <c r="F46" s="166">
        <f t="shared" si="31"/>
        <v>1571.44</v>
      </c>
      <c r="G46" s="166">
        <f t="shared" si="31"/>
        <v>4749.5</v>
      </c>
      <c r="H46" s="166">
        <f t="shared" si="31"/>
        <v>6088.3200000000006</v>
      </c>
      <c r="I46" s="166">
        <f t="shared" si="31"/>
        <v>7669.62</v>
      </c>
      <c r="J46" s="159">
        <f>J39*J42</f>
        <v>8414.6687999999995</v>
      </c>
      <c r="K46" s="159">
        <f t="shared" ref="K46:N46" si="32">K39*K42</f>
        <v>9229.8398400000024</v>
      </c>
      <c r="L46" s="159">
        <f t="shared" si="32"/>
        <v>10121.584366080002</v>
      </c>
      <c r="M46" s="159">
        <f t="shared" si="32"/>
        <v>11096.937041356803</v>
      </c>
      <c r="N46" s="160">
        <f t="shared" si="32"/>
        <v>12163.568004734978</v>
      </c>
    </row>
    <row r="47" spans="1:14" x14ac:dyDescent="0.25">
      <c r="A47" s="37"/>
      <c r="B47" t="s">
        <v>110</v>
      </c>
      <c r="C47" s="38"/>
      <c r="D47" s="23" t="s">
        <v>99</v>
      </c>
      <c r="E47" s="158"/>
      <c r="F47" s="158"/>
      <c r="G47" s="158"/>
      <c r="H47" s="158"/>
      <c r="I47" s="158"/>
      <c r="J47" s="159"/>
      <c r="K47" s="159">
        <f>K40*K44</f>
        <v>1200</v>
      </c>
      <c r="L47" s="159">
        <f t="shared" ref="L47:N47" si="33">L40*L44</f>
        <v>2160</v>
      </c>
      <c r="M47" s="159">
        <f t="shared" si="33"/>
        <v>3032.6400000000003</v>
      </c>
      <c r="N47" s="160">
        <f t="shared" si="33"/>
        <v>3426.4166400000008</v>
      </c>
    </row>
    <row r="48" spans="1:14" x14ac:dyDescent="0.25">
      <c r="A48" s="37"/>
      <c r="B48" t="s">
        <v>113</v>
      </c>
      <c r="C48" s="38"/>
      <c r="D48" s="23" t="s">
        <v>106</v>
      </c>
      <c r="E48" s="158">
        <v>174105</v>
      </c>
      <c r="F48" s="158">
        <v>185048</v>
      </c>
      <c r="G48" s="158">
        <v>392060</v>
      </c>
      <c r="H48" s="158">
        <v>401136</v>
      </c>
      <c r="I48" s="158">
        <v>400040</v>
      </c>
      <c r="J48" s="159">
        <f>J37*365</f>
        <v>400040</v>
      </c>
      <c r="K48" s="159">
        <f t="shared" ref="K48:N48" si="34">J48</f>
        <v>400040</v>
      </c>
      <c r="L48" s="159">
        <f t="shared" si="34"/>
        <v>400040</v>
      </c>
      <c r="M48" s="159">
        <f t="shared" si="34"/>
        <v>400040</v>
      </c>
      <c r="N48" s="160">
        <f t="shared" si="34"/>
        <v>400040</v>
      </c>
    </row>
    <row r="49" spans="1:14" x14ac:dyDescent="0.25">
      <c r="A49" s="37"/>
      <c r="B49" t="s">
        <v>112</v>
      </c>
      <c r="C49" s="38"/>
      <c r="D49" s="23" t="s">
        <v>106</v>
      </c>
      <c r="E49" s="158"/>
      <c r="F49" s="158"/>
      <c r="G49" s="158"/>
      <c r="H49" s="158"/>
      <c r="I49" s="158"/>
      <c r="J49" s="159"/>
      <c r="K49" s="159">
        <f>K35*365*(6/12)</f>
        <v>94535</v>
      </c>
      <c r="L49" s="159">
        <f>L35*365</f>
        <v>189070</v>
      </c>
      <c r="M49" s="159">
        <f t="shared" ref="M49:N49" si="35">M35*365</f>
        <v>189070</v>
      </c>
      <c r="N49" s="160">
        <f t="shared" si="35"/>
        <v>189070</v>
      </c>
    </row>
    <row r="50" spans="1:14" x14ac:dyDescent="0.25">
      <c r="A50" s="36"/>
      <c r="B50" t="s">
        <v>42</v>
      </c>
      <c r="D50" s="23" t="s">
        <v>69</v>
      </c>
      <c r="E50" s="167">
        <v>99.08</v>
      </c>
      <c r="F50" s="167">
        <v>288.37</v>
      </c>
      <c r="G50" s="167">
        <v>1808.82</v>
      </c>
      <c r="H50" s="167">
        <v>2475.1999999999998</v>
      </c>
      <c r="I50" s="167">
        <v>3061.01</v>
      </c>
      <c r="J50" s="168">
        <f>((J46*J48)+(J47*J49))/10^6</f>
        <v>3366.2041067519999</v>
      </c>
      <c r="K50" s="168">
        <f t="shared" ref="K50:N50" si="36">((K46*K48)+(K47*K49))/10^6</f>
        <v>3805.7471295936007</v>
      </c>
      <c r="L50" s="168">
        <f t="shared" si="36"/>
        <v>4457.4298098066447</v>
      </c>
      <c r="M50" s="168">
        <f t="shared" si="36"/>
        <v>5012.5999388243763</v>
      </c>
      <c r="N50" s="169">
        <f t="shared" si="36"/>
        <v>5513.7463387389816</v>
      </c>
    </row>
    <row r="51" spans="1:14" x14ac:dyDescent="0.25">
      <c r="A51" s="37"/>
      <c r="B51" t="s">
        <v>98</v>
      </c>
      <c r="C51" s="38"/>
      <c r="D51" s="23" t="s">
        <v>106</v>
      </c>
      <c r="E51" s="158">
        <v>17774</v>
      </c>
      <c r="F51" s="158">
        <v>48561</v>
      </c>
      <c r="G51" s="158">
        <v>194614</v>
      </c>
      <c r="H51" s="158">
        <v>225175</v>
      </c>
      <c r="I51" s="158">
        <v>252165</v>
      </c>
      <c r="J51" s="159">
        <f t="shared" ref="J51:N51" si="37">(J48*J39)+(J49*J40)</f>
        <v>256025.60000000001</v>
      </c>
      <c r="K51" s="159">
        <f t="shared" si="37"/>
        <v>288386.5</v>
      </c>
      <c r="L51" s="159">
        <f t="shared" si="37"/>
        <v>358561.4</v>
      </c>
      <c r="M51" s="159">
        <f t="shared" si="37"/>
        <v>390922.3</v>
      </c>
      <c r="N51" s="160">
        <f t="shared" si="37"/>
        <v>400594.80000000005</v>
      </c>
    </row>
    <row r="52" spans="1:14" x14ac:dyDescent="0.25">
      <c r="A52" s="36"/>
      <c r="B52" t="s">
        <v>43</v>
      </c>
      <c r="D52" s="23" t="s">
        <v>69</v>
      </c>
      <c r="E52" s="167">
        <v>118.86</v>
      </c>
      <c r="F52" s="167">
        <v>281.99</v>
      </c>
      <c r="G52" s="167">
        <v>1424.31</v>
      </c>
      <c r="H52" s="167">
        <v>1692.29</v>
      </c>
      <c r="I52" s="167">
        <v>1733.87</v>
      </c>
      <c r="J52" s="168">
        <f t="shared" ref="J52:N52" si="38">(J53*J51)/10^6</f>
        <v>1751.4321243919694</v>
      </c>
      <c r="K52" s="168">
        <f t="shared" si="38"/>
        <v>1981.6645528865804</v>
      </c>
      <c r="L52" s="168">
        <f t="shared" si="38"/>
        <v>2540.2228295127093</v>
      </c>
      <c r="M52" s="168">
        <f t="shared" si="38"/>
        <v>2751.1757702003056</v>
      </c>
      <c r="N52" s="169">
        <f t="shared" si="38"/>
        <v>2780.9674500354936</v>
      </c>
    </row>
    <row r="53" spans="1:14" x14ac:dyDescent="0.25">
      <c r="A53" s="37"/>
      <c r="C53" s="38" t="s">
        <v>425</v>
      </c>
      <c r="D53" s="39" t="s">
        <v>99</v>
      </c>
      <c r="E53" s="170">
        <f>(E52*10^6)/E51</f>
        <v>6687.2960504107123</v>
      </c>
      <c r="F53" s="170">
        <f>(F52*10^6)/F51</f>
        <v>5806.9232511686332</v>
      </c>
      <c r="G53" s="170">
        <f>(G52*10^6)/G51</f>
        <v>7318.6410021889487</v>
      </c>
      <c r="H53" s="170">
        <f>(H52*10^6)/H51</f>
        <v>7515.4435439102917</v>
      </c>
      <c r="I53" s="170">
        <f>(I52*10^6)/I51</f>
        <v>6875.9344080264909</v>
      </c>
      <c r="J53" s="159">
        <f t="shared" ref="J53:N53" si="39">AVERAGE(E53:I53)</f>
        <v>6840.8476511410163</v>
      </c>
      <c r="K53" s="159">
        <f t="shared" si="39"/>
        <v>6871.5579712870767</v>
      </c>
      <c r="L53" s="159">
        <f t="shared" si="39"/>
        <v>7084.4849153107643</v>
      </c>
      <c r="M53" s="159">
        <f t="shared" si="39"/>
        <v>7037.6536979351276</v>
      </c>
      <c r="N53" s="160">
        <f t="shared" si="39"/>
        <v>6942.0957287400961</v>
      </c>
    </row>
    <row r="54" spans="1:14" x14ac:dyDescent="0.25">
      <c r="A54" s="36"/>
      <c r="B54" t="s">
        <v>45</v>
      </c>
      <c r="D54" s="23" t="s">
        <v>69</v>
      </c>
      <c r="E54" s="167">
        <v>13.51</v>
      </c>
      <c r="F54" s="167">
        <v>38.340000000000003</v>
      </c>
      <c r="G54" s="167">
        <v>160.41999999999999</v>
      </c>
      <c r="H54" s="167">
        <v>195.22</v>
      </c>
      <c r="I54" s="167">
        <v>244.59</v>
      </c>
      <c r="J54" s="168"/>
      <c r="K54" s="168"/>
      <c r="L54" s="168"/>
      <c r="M54" s="168"/>
      <c r="N54" s="169"/>
    </row>
    <row r="55" spans="1:14" x14ac:dyDescent="0.25">
      <c r="A55" s="40"/>
      <c r="B55" s="45"/>
      <c r="C55" s="42" t="s">
        <v>114</v>
      </c>
      <c r="D55" s="43" t="s">
        <v>51</v>
      </c>
      <c r="E55" s="92">
        <f t="shared" ref="E55:I55" si="40">(E54)/(E50+E52)</f>
        <v>6.1989538405065617E-2</v>
      </c>
      <c r="F55" s="92">
        <f t="shared" si="40"/>
        <v>6.722070271407532E-2</v>
      </c>
      <c r="G55" s="92">
        <f t="shared" si="40"/>
        <v>4.9617553268813806E-2</v>
      </c>
      <c r="H55" s="92">
        <f t="shared" si="40"/>
        <v>4.6843543715761771E-2</v>
      </c>
      <c r="I55" s="92">
        <f t="shared" si="40"/>
        <v>5.101066137213027E-2</v>
      </c>
      <c r="J55" s="73">
        <f t="shared" ref="J55:N55" si="41">AVERAGE(E55:I55)</f>
        <v>5.533639989516935E-2</v>
      </c>
      <c r="K55" s="73">
        <f t="shared" si="41"/>
        <v>5.4005772193190103E-2</v>
      </c>
      <c r="L55" s="73">
        <f t="shared" si="41"/>
        <v>5.1362786089013054E-2</v>
      </c>
      <c r="M55" s="73">
        <f t="shared" si="41"/>
        <v>5.1711832653052917E-2</v>
      </c>
      <c r="N55" s="74">
        <f t="shared" si="41"/>
        <v>5.2685490440511143E-2</v>
      </c>
    </row>
    <row r="56" spans="1:14" x14ac:dyDescent="0.25">
      <c r="A56" s="1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x14ac:dyDescent="0.25">
      <c r="A57" s="118" t="s">
        <v>166</v>
      </c>
      <c r="B57" s="3"/>
      <c r="C57" s="3"/>
      <c r="D57" s="24"/>
      <c r="E57" s="119"/>
      <c r="F57" s="119"/>
      <c r="G57" s="119"/>
      <c r="H57" s="119"/>
      <c r="I57" s="119"/>
      <c r="J57" s="119"/>
      <c r="K57" s="119"/>
      <c r="L57" s="119"/>
      <c r="M57" s="119"/>
      <c r="N57" s="120"/>
    </row>
    <row r="58" spans="1:14" x14ac:dyDescent="0.25">
      <c r="A58" s="36"/>
      <c r="B58" t="s">
        <v>40</v>
      </c>
      <c r="D58" s="23" t="s">
        <v>69</v>
      </c>
      <c r="E58" s="167">
        <v>51.33</v>
      </c>
      <c r="F58" s="167">
        <v>183.83</v>
      </c>
      <c r="G58" s="167">
        <v>217.58</v>
      </c>
      <c r="H58" s="167">
        <v>237.45</v>
      </c>
      <c r="I58" s="167">
        <v>325.01</v>
      </c>
      <c r="J58" s="292"/>
      <c r="K58" s="292"/>
      <c r="L58" s="292"/>
      <c r="M58" s="292"/>
      <c r="N58" s="293"/>
    </row>
    <row r="59" spans="1:14" x14ac:dyDescent="0.25">
      <c r="A59" s="36"/>
      <c r="C59" s="6" t="s">
        <v>86</v>
      </c>
      <c r="D59" s="39" t="s">
        <v>87</v>
      </c>
      <c r="E59" s="171">
        <f>E58/E6</f>
        <v>1.7341216216216218</v>
      </c>
      <c r="F59" s="172">
        <f>F58/F6</f>
        <v>5.9879478827361572</v>
      </c>
      <c r="G59" s="172">
        <f>G58/G6</f>
        <v>6.9737179487179501</v>
      </c>
      <c r="H59" s="172">
        <f>H58/H6</f>
        <v>7.1092814371257482</v>
      </c>
      <c r="I59" s="172">
        <f>I58/I6</f>
        <v>8.7368279569892486</v>
      </c>
      <c r="J59" s="173">
        <v>8</v>
      </c>
      <c r="K59" s="174">
        <f>J59</f>
        <v>8</v>
      </c>
      <c r="L59" s="174">
        <f t="shared" ref="L59:N59" si="42">K59</f>
        <v>8</v>
      </c>
      <c r="M59" s="174">
        <f t="shared" si="42"/>
        <v>8</v>
      </c>
      <c r="N59" s="175">
        <f t="shared" si="42"/>
        <v>8</v>
      </c>
    </row>
    <row r="60" spans="1:14" x14ac:dyDescent="0.25">
      <c r="A60" s="36"/>
      <c r="B60" t="s">
        <v>169</v>
      </c>
      <c r="D60" s="23" t="s">
        <v>69</v>
      </c>
      <c r="E60" s="167">
        <v>2547.77</v>
      </c>
      <c r="F60" s="167">
        <v>4429.1899999999996</v>
      </c>
      <c r="G60" s="167">
        <v>4394.5600000000004</v>
      </c>
      <c r="H60" s="167">
        <v>4891.33</v>
      </c>
      <c r="I60" s="167">
        <v>5729.04</v>
      </c>
      <c r="J60" s="292"/>
      <c r="K60" s="292"/>
      <c r="L60" s="292"/>
      <c r="M60" s="292"/>
      <c r="N60" s="293"/>
    </row>
    <row r="61" spans="1:14" x14ac:dyDescent="0.25">
      <c r="A61" s="36"/>
      <c r="C61" s="6" t="s">
        <v>84</v>
      </c>
      <c r="D61" s="39" t="s">
        <v>51</v>
      </c>
      <c r="E61" s="121">
        <f>E60/'Revenue Schedule'!E19</f>
        <v>0.13789910048978085</v>
      </c>
      <c r="F61" s="121">
        <f>F60/'Revenue Schedule'!F19</f>
        <v>0.19985227178382045</v>
      </c>
      <c r="G61" s="121">
        <f>G60/'Revenue Schedule'!G19</f>
        <v>0.18466089587360285</v>
      </c>
      <c r="H61" s="121">
        <f>H60/'Revenue Schedule'!H19</f>
        <v>0.1934432271952308</v>
      </c>
      <c r="I61" s="121">
        <f>I60/'Revenue Schedule'!I19</f>
        <v>0.20330264238360304</v>
      </c>
      <c r="J61" s="136">
        <f>AVERAGE(G61:I61)</f>
        <v>0.19380225515081226</v>
      </c>
      <c r="K61" s="136">
        <f t="shared" ref="K61:N61" si="43">AVERAGE(H61:J61)</f>
        <v>0.19684937490988205</v>
      </c>
      <c r="L61" s="136">
        <f t="shared" si="43"/>
        <v>0.19798475748143243</v>
      </c>
      <c r="M61" s="136">
        <f t="shared" si="43"/>
        <v>0.19621212918070893</v>
      </c>
      <c r="N61" s="137">
        <f t="shared" si="43"/>
        <v>0.19701542052400781</v>
      </c>
    </row>
    <row r="62" spans="1:14" x14ac:dyDescent="0.25">
      <c r="A62" s="36"/>
      <c r="B62" t="s">
        <v>115</v>
      </c>
      <c r="D62" s="23" t="s">
        <v>69</v>
      </c>
      <c r="E62" s="167">
        <v>748.78</v>
      </c>
      <c r="F62" s="167">
        <v>737.03</v>
      </c>
      <c r="G62" s="167">
        <v>779.64</v>
      </c>
      <c r="H62" s="167">
        <v>492.5</v>
      </c>
      <c r="I62" s="167">
        <v>126</v>
      </c>
      <c r="J62" s="292"/>
      <c r="K62" s="292"/>
      <c r="L62" s="292"/>
      <c r="M62" s="292"/>
      <c r="N62" s="293"/>
    </row>
    <row r="63" spans="1:14" x14ac:dyDescent="0.25">
      <c r="A63" s="36"/>
      <c r="C63" s="6" t="s">
        <v>111</v>
      </c>
      <c r="D63" s="39" t="s">
        <v>51</v>
      </c>
      <c r="E63" s="177"/>
      <c r="F63" s="177">
        <f t="shared" ref="F63:I63" si="44">F62/E62 -1</f>
        <v>-1.5692192633350199E-2</v>
      </c>
      <c r="G63" s="177">
        <f t="shared" si="44"/>
        <v>5.781311479858342E-2</v>
      </c>
      <c r="H63" s="177">
        <f t="shared" si="44"/>
        <v>-0.36829818890770094</v>
      </c>
      <c r="I63" s="177">
        <f t="shared" si="44"/>
        <v>-0.74416243654822334</v>
      </c>
      <c r="J63" s="134">
        <v>0.03</v>
      </c>
      <c r="K63" s="134">
        <v>0.03</v>
      </c>
      <c r="L63" s="134">
        <v>0.03</v>
      </c>
      <c r="M63" s="134">
        <v>0.03</v>
      </c>
      <c r="N63" s="135">
        <v>0.03</v>
      </c>
    </row>
    <row r="64" spans="1:14" x14ac:dyDescent="0.25">
      <c r="A64" s="36"/>
      <c r="B64" s="17" t="s">
        <v>1</v>
      </c>
      <c r="C64" s="17"/>
      <c r="D64" s="23" t="s">
        <v>69</v>
      </c>
      <c r="E64" s="167">
        <v>971.2</v>
      </c>
      <c r="F64" s="167">
        <v>899.81</v>
      </c>
      <c r="G64" s="167">
        <v>1123.3699999999999</v>
      </c>
      <c r="H64" s="167">
        <v>1305.5999999999999</v>
      </c>
      <c r="I64" s="167">
        <v>876.86</v>
      </c>
      <c r="J64" s="168">
        <f ca="1">J65*(BS!J24+BS!J22)</f>
        <v>1342.6443123722056</v>
      </c>
      <c r="K64" s="168">
        <f ca="1">K65*(BS!K24+BS!K22)</f>
        <v>1914.5334264257483</v>
      </c>
      <c r="L64" s="168">
        <f ca="1">L65*(BS!L24+BS!L22)</f>
        <v>2948.1546627710272</v>
      </c>
      <c r="M64" s="168">
        <f ca="1">M65*(BS!M24+BS!M22)</f>
        <v>3960.4778608318306</v>
      </c>
      <c r="N64" s="169">
        <f ca="1">N65*(BS!N24+BS!N22)</f>
        <v>5093.7665210045207</v>
      </c>
    </row>
    <row r="65" spans="1:14" x14ac:dyDescent="0.25">
      <c r="A65" s="36"/>
      <c r="C65" t="s">
        <v>424</v>
      </c>
      <c r="D65" s="23" t="s">
        <v>51</v>
      </c>
      <c r="E65" s="250">
        <f>E64/BS!E24</f>
        <v>0.10585539925752988</v>
      </c>
      <c r="F65" s="250">
        <f>F64/BS!F24</f>
        <v>0.15291214701698871</v>
      </c>
      <c r="G65" s="250">
        <f>G64/BS!G24</f>
        <v>0.13744084527031325</v>
      </c>
      <c r="H65" s="250">
        <f>H64/BS!H24</f>
        <v>0.12909183852050629</v>
      </c>
      <c r="I65" s="250">
        <f>I64/BS!I24</f>
        <v>0.13225281968212024</v>
      </c>
      <c r="J65" s="123">
        <f t="shared" ref="J65:N65" si="45">AVERAGE(G65:I65)</f>
        <v>0.13292850115764657</v>
      </c>
      <c r="K65" s="123">
        <f t="shared" si="45"/>
        <v>0.13142438645342436</v>
      </c>
      <c r="L65" s="123">
        <f t="shared" si="45"/>
        <v>0.13220190243106372</v>
      </c>
      <c r="M65" s="123">
        <f t="shared" si="45"/>
        <v>0.13218493001404488</v>
      </c>
      <c r="N65" s="124">
        <f t="shared" si="45"/>
        <v>0.13193707296617765</v>
      </c>
    </row>
    <row r="66" spans="1:14" x14ac:dyDescent="0.25">
      <c r="A66" s="36"/>
      <c r="B66" t="s">
        <v>2</v>
      </c>
      <c r="D66" s="23" t="s">
        <v>69</v>
      </c>
      <c r="E66" s="167">
        <v>214.06</v>
      </c>
      <c r="F66" s="167">
        <v>369.46</v>
      </c>
      <c r="G66" s="167">
        <v>317.87</v>
      </c>
      <c r="H66" s="167">
        <v>725.24</v>
      </c>
      <c r="I66" s="167">
        <v>546.80999999999995</v>
      </c>
      <c r="J66" s="292"/>
      <c r="K66" s="292"/>
      <c r="L66" s="292"/>
      <c r="M66" s="292"/>
      <c r="N66" s="293"/>
    </row>
    <row r="67" spans="1:14" x14ac:dyDescent="0.25">
      <c r="A67" s="36"/>
      <c r="C67" s="6" t="s">
        <v>84</v>
      </c>
      <c r="D67" s="39" t="s">
        <v>51</v>
      </c>
      <c r="E67" s="177">
        <f>E66/'Revenue Schedule'!E19</f>
        <v>1.1586085655629233E-2</v>
      </c>
      <c r="F67" s="177">
        <f>F66/'Revenue Schedule'!F19</f>
        <v>1.6670637370094828E-2</v>
      </c>
      <c r="G67" s="177">
        <f>G66/'Revenue Schedule'!G19</f>
        <v>1.3357004790318514E-2</v>
      </c>
      <c r="H67" s="177">
        <f>H66/'Revenue Schedule'!H19</f>
        <v>2.8681926202294507E-2</v>
      </c>
      <c r="I67" s="177">
        <f>I66/'Revenue Schedule'!I19</f>
        <v>1.9404283768620564E-2</v>
      </c>
      <c r="J67" s="123">
        <f>I67</f>
        <v>1.9404283768620564E-2</v>
      </c>
      <c r="K67" s="123">
        <f t="shared" ref="K67:N67" si="46">J67</f>
        <v>1.9404283768620564E-2</v>
      </c>
      <c r="L67" s="123">
        <f t="shared" si="46"/>
        <v>1.9404283768620564E-2</v>
      </c>
      <c r="M67" s="123">
        <f t="shared" si="46"/>
        <v>1.9404283768620564E-2</v>
      </c>
      <c r="N67" s="124">
        <f t="shared" si="46"/>
        <v>1.9404283768620564E-2</v>
      </c>
    </row>
    <row r="68" spans="1:14" x14ac:dyDescent="0.25">
      <c r="A68" s="36"/>
      <c r="B68" t="s">
        <v>347</v>
      </c>
      <c r="C68" s="6"/>
      <c r="D68" s="23" t="s">
        <v>69</v>
      </c>
      <c r="E68" s="167">
        <f>'P&amp;L'!E33</f>
        <v>1649.06</v>
      </c>
      <c r="F68" s="167">
        <f>'P&amp;L'!F33</f>
        <v>1669.3</v>
      </c>
      <c r="G68" s="167">
        <f>'P&amp;L'!G33</f>
        <v>1527.66</v>
      </c>
      <c r="H68" s="167">
        <f>'P&amp;L'!H33</f>
        <v>1427.74</v>
      </c>
      <c r="I68" s="167">
        <f>'P&amp;L'!I33</f>
        <v>1676.45</v>
      </c>
      <c r="J68" s="170"/>
      <c r="K68" s="170"/>
      <c r="L68" s="170"/>
      <c r="M68" s="170"/>
      <c r="N68" s="294"/>
    </row>
    <row r="69" spans="1:14" x14ac:dyDescent="0.25">
      <c r="A69" s="125"/>
      <c r="B69" s="45"/>
      <c r="C69" s="178" t="s">
        <v>348</v>
      </c>
      <c r="D69" s="43" t="s">
        <v>51</v>
      </c>
      <c r="E69" s="179">
        <f>E68/'P&amp;L'!E4</f>
        <v>6.9865950379609534E-2</v>
      </c>
      <c r="F69" s="179">
        <f>F68/'P&amp;L'!F4</f>
        <v>5.6345682262738367E-2</v>
      </c>
      <c r="G69" s="179">
        <f>G68/'P&amp;L'!G4</f>
        <v>4.4674390700745685E-2</v>
      </c>
      <c r="H69" s="179">
        <f>H68/'P&amp;L'!H4</f>
        <v>3.8742726953512746E-2</v>
      </c>
      <c r="I69" s="179">
        <f>I68/'P&amp;L'!I4</f>
        <v>4.1507259839977502E-2</v>
      </c>
      <c r="J69" s="126">
        <f t="shared" ref="J69:N69" si="47">AVERAGE(G69:I69)</f>
        <v>4.1641459164745313E-2</v>
      </c>
      <c r="K69" s="126">
        <f t="shared" si="47"/>
        <v>4.063048198607852E-2</v>
      </c>
      <c r="L69" s="126">
        <f t="shared" si="47"/>
        <v>4.1259733663600445E-2</v>
      </c>
      <c r="M69" s="126">
        <f t="shared" si="47"/>
        <v>4.1177224938141431E-2</v>
      </c>
      <c r="N69" s="127">
        <f t="shared" si="47"/>
        <v>4.1022480195940132E-2</v>
      </c>
    </row>
    <row r="70" spans="1:14" x14ac:dyDescent="0.25">
      <c r="C70" s="6"/>
      <c r="D70" s="39"/>
      <c r="J70" s="265"/>
      <c r="K70" s="265"/>
      <c r="L70" s="265"/>
      <c r="M70" s="265"/>
      <c r="N70" s="265"/>
    </row>
    <row r="71" spans="1:14" x14ac:dyDescent="0.25"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x14ac:dyDescent="0.25">
      <c r="A72" s="118" t="s">
        <v>23</v>
      </c>
      <c r="B72" s="3"/>
      <c r="C72" s="3"/>
      <c r="D72" s="24"/>
      <c r="E72" s="119"/>
      <c r="F72" s="119"/>
      <c r="G72" s="119"/>
      <c r="H72" s="119"/>
      <c r="I72" s="119"/>
      <c r="J72" s="119"/>
      <c r="K72" s="119"/>
      <c r="L72" s="119"/>
      <c r="M72" s="119"/>
      <c r="N72" s="120"/>
    </row>
    <row r="73" spans="1:14" x14ac:dyDescent="0.25">
      <c r="A73" s="36"/>
      <c r="B73" t="s">
        <v>4</v>
      </c>
      <c r="D73" s="23" t="s">
        <v>69</v>
      </c>
      <c r="E73" s="167">
        <v>35.549999999999997</v>
      </c>
      <c r="F73" s="167">
        <v>84.53</v>
      </c>
      <c r="G73" s="167">
        <v>390.22</v>
      </c>
      <c r="H73" s="167">
        <v>414.36</v>
      </c>
      <c r="I73" s="167">
        <v>456.13</v>
      </c>
      <c r="J73" s="168">
        <f>J74*J52</f>
        <v>456.47772750472484</v>
      </c>
      <c r="K73" s="168">
        <f t="shared" ref="K73:N73" si="48">K74*K52</f>
        <v>507.67157724390916</v>
      </c>
      <c r="L73" s="168">
        <f t="shared" si="48"/>
        <v>660.3614202517191</v>
      </c>
      <c r="M73" s="168">
        <f t="shared" si="48"/>
        <v>712.35052308504305</v>
      </c>
      <c r="N73" s="169">
        <f t="shared" si="48"/>
        <v>718.48358573391874</v>
      </c>
    </row>
    <row r="74" spans="1:14" x14ac:dyDescent="0.25">
      <c r="A74" s="36"/>
      <c r="C74" s="6" t="s">
        <v>167</v>
      </c>
      <c r="D74" s="39" t="s">
        <v>51</v>
      </c>
      <c r="E74" s="121">
        <f>E73/E52</f>
        <v>0.29909136799596159</v>
      </c>
      <c r="F74" s="121">
        <f t="shared" ref="F74:I74" si="49">F73/F52</f>
        <v>0.29976240292208944</v>
      </c>
      <c r="G74" s="121">
        <f t="shared" si="49"/>
        <v>0.27397125625741592</v>
      </c>
      <c r="H74" s="121">
        <f t="shared" si="49"/>
        <v>0.24485165072180301</v>
      </c>
      <c r="I74" s="121">
        <f t="shared" si="49"/>
        <v>0.2630704724114265</v>
      </c>
      <c r="J74" s="123">
        <f t="shared" ref="J74:N74" si="50">AVERAGE(G74:I74)</f>
        <v>0.26063112646354852</v>
      </c>
      <c r="K74" s="123">
        <f t="shared" si="50"/>
        <v>0.25618441653225932</v>
      </c>
      <c r="L74" s="123">
        <f t="shared" si="50"/>
        <v>0.2599620051357448</v>
      </c>
      <c r="M74" s="123">
        <f t="shared" si="50"/>
        <v>0.25892584937718421</v>
      </c>
      <c r="N74" s="124">
        <f t="shared" si="50"/>
        <v>0.25835742368172943</v>
      </c>
    </row>
    <row r="75" spans="1:14" x14ac:dyDescent="0.25">
      <c r="A75" s="36"/>
      <c r="B75" t="s">
        <v>5</v>
      </c>
      <c r="D75" s="23" t="s">
        <v>69</v>
      </c>
      <c r="E75" s="167">
        <v>225.48</v>
      </c>
      <c r="F75" s="167">
        <v>228.59</v>
      </c>
      <c r="G75" s="167">
        <v>590.08000000000004</v>
      </c>
      <c r="H75" s="167">
        <v>582.76</v>
      </c>
      <c r="I75" s="167">
        <v>632.22</v>
      </c>
      <c r="J75" s="168">
        <f t="shared" ref="J75:N75" si="51">J76*J6</f>
        <v>718.52593139609962</v>
      </c>
      <c r="K75" s="168">
        <f t="shared" si="51"/>
        <v>713.78759778485505</v>
      </c>
      <c r="L75" s="168">
        <f t="shared" si="51"/>
        <v>753.27437093463118</v>
      </c>
      <c r="M75" s="168">
        <f t="shared" si="51"/>
        <v>794.71427247110012</v>
      </c>
      <c r="N75" s="169">
        <f t="shared" si="51"/>
        <v>819.55164025241754</v>
      </c>
    </row>
    <row r="76" spans="1:14" x14ac:dyDescent="0.25">
      <c r="A76" s="36"/>
      <c r="C76" s="6" t="s">
        <v>168</v>
      </c>
      <c r="D76" s="39" t="s">
        <v>87</v>
      </c>
      <c r="E76" s="180">
        <f t="shared" ref="E76:I76" si="52">E75/E6</f>
        <v>7.6175675675675674</v>
      </c>
      <c r="F76" s="180">
        <f t="shared" si="52"/>
        <v>7.4459283387622159</v>
      </c>
      <c r="G76" s="180">
        <f t="shared" si="52"/>
        <v>18.912820512820517</v>
      </c>
      <c r="H76" s="180">
        <f t="shared" si="52"/>
        <v>17.447904191616768</v>
      </c>
      <c r="I76" s="180">
        <f t="shared" si="52"/>
        <v>16.995161290322585</v>
      </c>
      <c r="J76" s="168">
        <f t="shared" ref="J76:N76" si="53">AVERAGE(G76:I76)</f>
        <v>17.785295331586624</v>
      </c>
      <c r="K76" s="168">
        <f t="shared" si="53"/>
        <v>17.409453604508659</v>
      </c>
      <c r="L76" s="168">
        <f t="shared" si="53"/>
        <v>17.39663674213929</v>
      </c>
      <c r="M76" s="168">
        <f t="shared" si="53"/>
        <v>17.530461892744857</v>
      </c>
      <c r="N76" s="169">
        <f t="shared" si="53"/>
        <v>17.445517413130933</v>
      </c>
    </row>
    <row r="77" spans="1:14" x14ac:dyDescent="0.25">
      <c r="A77" s="36"/>
      <c r="B77" t="s">
        <v>6</v>
      </c>
      <c r="D77" s="23" t="s">
        <v>69</v>
      </c>
      <c r="E77" s="167">
        <v>413.81</v>
      </c>
      <c r="F77" s="167">
        <v>585.64</v>
      </c>
      <c r="G77" s="167">
        <v>968.22</v>
      </c>
      <c r="H77" s="167">
        <v>910.66</v>
      </c>
      <c r="I77" s="167">
        <v>859.81</v>
      </c>
      <c r="J77" s="168">
        <f>J78*'Revenue Schedule'!J21</f>
        <v>939.18149471834249</v>
      </c>
      <c r="K77" s="168">
        <f>K78*'Revenue Schedule'!K21</f>
        <v>1085.5678574945046</v>
      </c>
      <c r="L77" s="168">
        <f>L78*'Revenue Schedule'!L21</f>
        <v>1351.4348762589132</v>
      </c>
      <c r="M77" s="168">
        <f>M78*'Revenue Schedule'!M21</f>
        <v>1446.4485246767872</v>
      </c>
      <c r="N77" s="169">
        <f>N78*'Revenue Schedule'!N21</f>
        <v>1583.4127750063062</v>
      </c>
    </row>
    <row r="78" spans="1:14" x14ac:dyDescent="0.25">
      <c r="A78" s="36"/>
      <c r="C78" s="6" t="s">
        <v>170</v>
      </c>
      <c r="D78" s="39" t="s">
        <v>51</v>
      </c>
      <c r="E78" s="181">
        <f t="shared" ref="E78:I78" si="54">E77/E60</f>
        <v>0.16242046966562915</v>
      </c>
      <c r="F78" s="181">
        <f t="shared" si="54"/>
        <v>0.13222282178005459</v>
      </c>
      <c r="G78" s="181">
        <f t="shared" si="54"/>
        <v>0.2203223986019078</v>
      </c>
      <c r="H78" s="181">
        <f t="shared" si="54"/>
        <v>0.18617840137549502</v>
      </c>
      <c r="I78" s="181">
        <f t="shared" si="54"/>
        <v>0.15007924538840711</v>
      </c>
      <c r="J78" s="123">
        <f>I78</f>
        <v>0.15007924538840711</v>
      </c>
      <c r="K78" s="123">
        <f t="shared" ref="K78:N78" si="55">J78</f>
        <v>0.15007924538840711</v>
      </c>
      <c r="L78" s="123">
        <f t="shared" si="55"/>
        <v>0.15007924538840711</v>
      </c>
      <c r="M78" s="123">
        <f t="shared" si="55"/>
        <v>0.15007924538840711</v>
      </c>
      <c r="N78" s="124">
        <f t="shared" si="55"/>
        <v>0.15007924538840711</v>
      </c>
    </row>
    <row r="79" spans="1:14" x14ac:dyDescent="0.25">
      <c r="A79" s="36"/>
      <c r="B79" t="s">
        <v>26</v>
      </c>
      <c r="D79" s="23" t="s">
        <v>69</v>
      </c>
      <c r="E79" s="167">
        <v>1794.2</v>
      </c>
      <c r="F79" s="167">
        <v>2657.67</v>
      </c>
      <c r="G79" s="167">
        <v>3028.11</v>
      </c>
      <c r="H79" s="167">
        <v>3334.31</v>
      </c>
      <c r="I79" s="167">
        <v>3645.32</v>
      </c>
      <c r="J79" s="168">
        <f>J80*'Revenue Schedule'!J19</f>
        <v>4181.2210603558979</v>
      </c>
      <c r="K79" s="168">
        <f>K80*'Revenue Schedule'!K19</f>
        <v>4785.6401515001353</v>
      </c>
      <c r="L79" s="168">
        <f>L80*'Revenue Schedule'!L19</f>
        <v>5898.8480395685301</v>
      </c>
      <c r="M79" s="168">
        <f>M80*'Revenue Schedule'!M19</f>
        <v>6376.115985035618</v>
      </c>
      <c r="N79" s="169">
        <f>N80*'Revenue Schedule'!N19</f>
        <v>6957.0955560592265</v>
      </c>
    </row>
    <row r="80" spans="1:14" x14ac:dyDescent="0.25">
      <c r="A80" s="36"/>
      <c r="C80" s="6" t="s">
        <v>171</v>
      </c>
      <c r="D80" s="39" t="s">
        <v>51</v>
      </c>
      <c r="E80" s="181">
        <f>E79/'Revenue Schedule'!E19</f>
        <v>9.711181389951401E-2</v>
      </c>
      <c r="F80" s="181">
        <f>F79/'Revenue Schedule'!F19</f>
        <v>0.1199184020445513</v>
      </c>
      <c r="G80" s="181">
        <f>G79/'Revenue Schedule'!G19</f>
        <v>0.12724220522733004</v>
      </c>
      <c r="H80" s="181">
        <f>H79/'Revenue Schedule'!H19</f>
        <v>0.131865911085396</v>
      </c>
      <c r="I80" s="181">
        <f>I79/'Revenue Schedule'!I19</f>
        <v>0.12935905288386812</v>
      </c>
      <c r="J80" s="123">
        <f>AVERAGE(G80:I80)</f>
        <v>0.12948905639886471</v>
      </c>
      <c r="K80" s="123">
        <f t="shared" ref="K80:N80" si="56">AVERAGE(H80:J80)</f>
        <v>0.13023800678937628</v>
      </c>
      <c r="L80" s="123">
        <f t="shared" si="56"/>
        <v>0.12969537202403636</v>
      </c>
      <c r="M80" s="123">
        <f t="shared" si="56"/>
        <v>0.12980747840409246</v>
      </c>
      <c r="N80" s="124">
        <f t="shared" si="56"/>
        <v>0.12991361907250168</v>
      </c>
    </row>
    <row r="81" spans="1:14" x14ac:dyDescent="0.25">
      <c r="A81" s="36"/>
      <c r="B81" t="s">
        <v>17</v>
      </c>
      <c r="D81" s="23" t="s">
        <v>69</v>
      </c>
      <c r="E81" s="167">
        <v>8.4499999999999993</v>
      </c>
      <c r="F81" s="167">
        <v>11.56</v>
      </c>
      <c r="G81" s="167">
        <v>10.62</v>
      </c>
      <c r="H81" s="167">
        <v>10.83</v>
      </c>
      <c r="I81" s="167">
        <v>9.64</v>
      </c>
      <c r="J81" s="182">
        <f>AVERAGE(G81:I81)</f>
        <v>10.363333333333333</v>
      </c>
      <c r="K81" s="168">
        <f t="shared" ref="K81:N81" si="57">J81*(1+K82)</f>
        <v>10.674233333333333</v>
      </c>
      <c r="L81" s="168">
        <f t="shared" si="57"/>
        <v>10.994460333333334</v>
      </c>
      <c r="M81" s="168">
        <f t="shared" si="57"/>
        <v>11.324294143333335</v>
      </c>
      <c r="N81" s="169">
        <f t="shared" si="57"/>
        <v>11.664022967633334</v>
      </c>
    </row>
    <row r="82" spans="1:14" x14ac:dyDescent="0.25">
      <c r="A82" s="36"/>
      <c r="C82" s="6" t="s">
        <v>57</v>
      </c>
      <c r="D82" s="39" t="s">
        <v>51</v>
      </c>
      <c r="E82" s="122"/>
      <c r="F82" s="121">
        <f>F81/E81 - 1</f>
        <v>0.36804733727810679</v>
      </c>
      <c r="G82" s="121">
        <f t="shared" ref="G82:I82" si="58">G81/F81 - 1</f>
        <v>-8.13148788927337E-2</v>
      </c>
      <c r="H82" s="121">
        <f t="shared" si="58"/>
        <v>1.9774011299435124E-2</v>
      </c>
      <c r="I82" s="121">
        <f t="shared" si="58"/>
        <v>-0.10987996306555858</v>
      </c>
      <c r="J82" s="134">
        <v>0.03</v>
      </c>
      <c r="K82" s="123">
        <f t="shared" ref="K82:N82" si="59">J82</f>
        <v>0.03</v>
      </c>
      <c r="L82" s="123">
        <f t="shared" si="59"/>
        <v>0.03</v>
      </c>
      <c r="M82" s="123">
        <f t="shared" si="59"/>
        <v>0.03</v>
      </c>
      <c r="N82" s="124">
        <f t="shared" si="59"/>
        <v>0.03</v>
      </c>
    </row>
    <row r="83" spans="1:14" x14ac:dyDescent="0.25">
      <c r="A83" s="36"/>
      <c r="B83" t="s">
        <v>24</v>
      </c>
      <c r="D83" s="23" t="s">
        <v>69</v>
      </c>
      <c r="E83" s="167">
        <v>49.26</v>
      </c>
      <c r="F83" s="167">
        <v>53.81</v>
      </c>
      <c r="G83" s="167">
        <v>54.33</v>
      </c>
      <c r="H83" s="167">
        <v>57.17</v>
      </c>
      <c r="I83" s="167">
        <v>55.56</v>
      </c>
      <c r="J83" s="168">
        <f t="shared" ref="J83:N83" si="60">I83*(1+J84)</f>
        <v>57.312114959828477</v>
      </c>
      <c r="K83" s="168">
        <f t="shared" si="60"/>
        <v>59.119483822328924</v>
      </c>
      <c r="L83" s="168">
        <f t="shared" si="60"/>
        <v>60.983849049514667</v>
      </c>
      <c r="M83" s="168">
        <f t="shared" si="60"/>
        <v>62.907008052890767</v>
      </c>
      <c r="N83" s="169">
        <f t="shared" si="60"/>
        <v>64.890814926316253</v>
      </c>
    </row>
    <row r="84" spans="1:14" x14ac:dyDescent="0.25">
      <c r="A84" s="36"/>
      <c r="C84" s="6" t="s">
        <v>57</v>
      </c>
      <c r="D84" s="39" t="s">
        <v>51</v>
      </c>
      <c r="E84" s="297"/>
      <c r="F84" s="121">
        <f t="shared" ref="F84:I84" si="61">F83/E83 -1</f>
        <v>9.2367032074705646E-2</v>
      </c>
      <c r="G84" s="121">
        <f t="shared" si="61"/>
        <v>9.6636312952982362E-3</v>
      </c>
      <c r="H84" s="121">
        <f t="shared" si="61"/>
        <v>5.2273145591754222E-2</v>
      </c>
      <c r="I84" s="121">
        <f t="shared" si="61"/>
        <v>-2.8161623228966204E-2</v>
      </c>
      <c r="J84" s="123">
        <f>AVERAGE(F84:I84)</f>
        <v>3.1535546433197975E-2</v>
      </c>
      <c r="K84" s="123">
        <f t="shared" ref="K84:N84" si="62">J84</f>
        <v>3.1535546433197975E-2</v>
      </c>
      <c r="L84" s="123">
        <f t="shared" si="62"/>
        <v>3.1535546433197975E-2</v>
      </c>
      <c r="M84" s="123">
        <f t="shared" si="62"/>
        <v>3.1535546433197975E-2</v>
      </c>
      <c r="N84" s="124">
        <f t="shared" si="62"/>
        <v>3.1535546433197975E-2</v>
      </c>
    </row>
    <row r="85" spans="1:14" x14ac:dyDescent="0.25">
      <c r="A85" s="36"/>
      <c r="B85" t="s">
        <v>18</v>
      </c>
      <c r="D85" s="23" t="s">
        <v>69</v>
      </c>
      <c r="E85" s="167">
        <v>81.900000000000006</v>
      </c>
      <c r="F85" s="167">
        <v>149.49</v>
      </c>
      <c r="G85" s="167">
        <v>180.34</v>
      </c>
      <c r="H85" s="167">
        <v>174.05</v>
      </c>
      <c r="I85" s="167">
        <v>136.38999999999999</v>
      </c>
      <c r="J85" s="168">
        <f>J86*'Revenue Schedule'!J19</f>
        <v>156.28372762289666</v>
      </c>
      <c r="K85" s="168">
        <f>K86*'Revenue Schedule'!K19</f>
        <v>177.84677597396109</v>
      </c>
      <c r="L85" s="168">
        <f>L86*'Revenue Schedule'!L19</f>
        <v>220.13364634944782</v>
      </c>
      <c r="M85" s="168">
        <f>M86*'Revenue Schedule'!M19</f>
        <v>237.73886948692282</v>
      </c>
      <c r="N85" s="169">
        <f>N86*'Revenue Schedule'!N19</f>
        <v>259.18925021605486</v>
      </c>
    </row>
    <row r="86" spans="1:14" x14ac:dyDescent="0.25">
      <c r="A86" s="36"/>
      <c r="C86" s="6" t="s">
        <v>171</v>
      </c>
      <c r="D86" s="39" t="s">
        <v>51</v>
      </c>
      <c r="E86" s="224">
        <f>E85/'Revenue Schedule'!E19</f>
        <v>4.4328712286089604E-3</v>
      </c>
      <c r="F86" s="224">
        <f>F85/'Revenue Schedule'!F19</f>
        <v>6.7452324485884159E-3</v>
      </c>
      <c r="G86" s="224">
        <f>G85/'Revenue Schedule'!G19</f>
        <v>7.5779477266997228E-3</v>
      </c>
      <c r="H86" s="224">
        <f>H85/'Revenue Schedule'!H19</f>
        <v>6.8833617223393075E-3</v>
      </c>
      <c r="I86" s="224">
        <f>I85/'Revenue Schedule'!I19</f>
        <v>4.8399814619377096E-3</v>
      </c>
      <c r="J86" s="183">
        <f>I86</f>
        <v>4.8399814619377096E-3</v>
      </c>
      <c r="K86" s="183">
        <f t="shared" ref="K86:N86" si="63">J86</f>
        <v>4.8399814619377096E-3</v>
      </c>
      <c r="L86" s="183">
        <f t="shared" si="63"/>
        <v>4.8399814619377096E-3</v>
      </c>
      <c r="M86" s="183">
        <f t="shared" si="63"/>
        <v>4.8399814619377096E-3</v>
      </c>
      <c r="N86" s="184">
        <f t="shared" si="63"/>
        <v>4.8399814619377096E-3</v>
      </c>
    </row>
    <row r="87" spans="1:14" x14ac:dyDescent="0.25">
      <c r="A87" s="36"/>
      <c r="B87" t="s">
        <v>19</v>
      </c>
      <c r="D87" s="23" t="s">
        <v>69</v>
      </c>
      <c r="E87" s="167">
        <v>748.14</v>
      </c>
      <c r="F87" s="167">
        <v>924.63</v>
      </c>
      <c r="G87" s="167">
        <v>934.89</v>
      </c>
      <c r="H87" s="167">
        <v>1003.98</v>
      </c>
      <c r="I87" s="167">
        <v>1108.53</v>
      </c>
      <c r="J87" s="168">
        <f>J88*'Revenue Schedule'!J19</f>
        <v>1270.2192285490846</v>
      </c>
      <c r="K87" s="168">
        <f>K88*'Revenue Schedule'!K19</f>
        <v>1445.4761094685468</v>
      </c>
      <c r="L87" s="168">
        <f>L88*'Revenue Schedule'!L19</f>
        <v>1789.1689345828388</v>
      </c>
      <c r="M87" s="168">
        <f>M88*'Revenue Schedule'!M19</f>
        <v>1932.258002729955</v>
      </c>
      <c r="N87" s="169">
        <f>N88*'Revenue Schedule'!N19</f>
        <v>2106.5991608036024</v>
      </c>
    </row>
    <row r="88" spans="1:14" x14ac:dyDescent="0.25">
      <c r="A88" s="36"/>
      <c r="C88" s="6" t="s">
        <v>171</v>
      </c>
      <c r="D88" s="39" t="s">
        <v>51</v>
      </c>
      <c r="E88" s="121">
        <f>E87/'Revenue Schedule'!E19</f>
        <v>4.0493385604047714E-2</v>
      </c>
      <c r="F88" s="121">
        <f>F87/'Revenue Schedule'!F19</f>
        <v>4.1720812622505224E-2</v>
      </c>
      <c r="G88" s="121">
        <f>G87/'Revenue Schedule'!G19</f>
        <v>3.9284393646524918E-2</v>
      </c>
      <c r="H88" s="121">
        <f>H87/'Revenue Schedule'!H19</f>
        <v>3.9705587486321268E-2</v>
      </c>
      <c r="I88" s="121">
        <f>I87/'Revenue Schedule'!I19</f>
        <v>3.9337668817375243E-2</v>
      </c>
      <c r="J88" s="123">
        <f t="shared" ref="J88:N88" si="64">I88</f>
        <v>3.9337668817375243E-2</v>
      </c>
      <c r="K88" s="123">
        <f t="shared" si="64"/>
        <v>3.9337668817375243E-2</v>
      </c>
      <c r="L88" s="123">
        <f t="shared" si="64"/>
        <v>3.9337668817375243E-2</v>
      </c>
      <c r="M88" s="123">
        <f t="shared" si="64"/>
        <v>3.9337668817375243E-2</v>
      </c>
      <c r="N88" s="124">
        <f t="shared" si="64"/>
        <v>3.9337668817375243E-2</v>
      </c>
    </row>
    <row r="89" spans="1:14" x14ac:dyDescent="0.25">
      <c r="A89" s="36"/>
      <c r="B89" t="s">
        <v>20</v>
      </c>
      <c r="D89" s="23" t="s">
        <v>69</v>
      </c>
      <c r="E89" s="167">
        <v>2.95</v>
      </c>
      <c r="F89" s="167">
        <v>2.95</v>
      </c>
      <c r="G89" s="167">
        <v>2.95</v>
      </c>
      <c r="H89" s="167">
        <v>2.95</v>
      </c>
      <c r="I89" s="167">
        <v>2.95</v>
      </c>
      <c r="J89" s="168">
        <f t="shared" ref="J89:N89" si="65">I89</f>
        <v>2.95</v>
      </c>
      <c r="K89" s="168">
        <f t="shared" si="65"/>
        <v>2.95</v>
      </c>
      <c r="L89" s="168">
        <f t="shared" si="65"/>
        <v>2.95</v>
      </c>
      <c r="M89" s="168">
        <f t="shared" si="65"/>
        <v>2.95</v>
      </c>
      <c r="N89" s="169">
        <f t="shared" si="65"/>
        <v>2.95</v>
      </c>
    </row>
    <row r="90" spans="1:14" x14ac:dyDescent="0.25">
      <c r="A90" s="36"/>
      <c r="B90" t="s">
        <v>21</v>
      </c>
      <c r="D90" s="23" t="s">
        <v>69</v>
      </c>
      <c r="E90" s="167">
        <v>291.18</v>
      </c>
      <c r="F90" s="167">
        <v>408.46</v>
      </c>
      <c r="G90" s="167">
        <v>524.73</v>
      </c>
      <c r="H90" s="167">
        <v>360.01</v>
      </c>
      <c r="I90" s="167">
        <v>350.09</v>
      </c>
      <c r="J90" s="168">
        <f t="shared" ref="J90:N90" si="66">I90*(1+J91)</f>
        <v>360.59269999999998</v>
      </c>
      <c r="K90" s="168">
        <f t="shared" si="66"/>
        <v>371.410481</v>
      </c>
      <c r="L90" s="168">
        <f t="shared" si="66"/>
        <v>382.55279543</v>
      </c>
      <c r="M90" s="168">
        <f t="shared" si="66"/>
        <v>394.02937929289999</v>
      </c>
      <c r="N90" s="169">
        <f t="shared" si="66"/>
        <v>405.85026067168701</v>
      </c>
    </row>
    <row r="91" spans="1:14" x14ac:dyDescent="0.25">
      <c r="A91" s="36"/>
      <c r="C91" s="6" t="s">
        <v>57</v>
      </c>
      <c r="D91" s="39" t="s">
        <v>51</v>
      </c>
      <c r="E91" s="122"/>
      <c r="F91" s="121">
        <f t="shared" ref="F91:I91" si="67">F90/E90 - 1</f>
        <v>0.40277491585960568</v>
      </c>
      <c r="G91" s="121">
        <f t="shared" si="67"/>
        <v>0.28465455613768809</v>
      </c>
      <c r="H91" s="121">
        <f t="shared" si="67"/>
        <v>-0.31391382234673071</v>
      </c>
      <c r="I91" s="121">
        <f t="shared" si="67"/>
        <v>-2.7554790144718289E-2</v>
      </c>
      <c r="J91" s="134">
        <v>0.03</v>
      </c>
      <c r="K91" s="123">
        <f t="shared" ref="K91:N91" si="68">J91</f>
        <v>0.03</v>
      </c>
      <c r="L91" s="123">
        <f t="shared" si="68"/>
        <v>0.03</v>
      </c>
      <c r="M91" s="123">
        <f t="shared" si="68"/>
        <v>0.03</v>
      </c>
      <c r="N91" s="124">
        <f t="shared" si="68"/>
        <v>0.03</v>
      </c>
    </row>
    <row r="92" spans="1:14" x14ac:dyDescent="0.25">
      <c r="A92" s="36"/>
      <c r="B92" t="s">
        <v>7</v>
      </c>
      <c r="D92" s="23" t="s">
        <v>69</v>
      </c>
      <c r="E92" s="167">
        <v>1444.33</v>
      </c>
      <c r="F92" s="167">
        <v>1537.82</v>
      </c>
      <c r="G92" s="167">
        <v>2067.19</v>
      </c>
      <c r="H92" s="167">
        <v>2307.4699999999998</v>
      </c>
      <c r="I92" s="167">
        <v>2668.85</v>
      </c>
      <c r="J92" s="168">
        <f>J93*'Revenue Schedule'!J27</f>
        <v>2866.9905652004736</v>
      </c>
      <c r="K92" s="168">
        <f>K93*'Revenue Schedule'!K27</f>
        <v>3302.3678983641857</v>
      </c>
      <c r="L92" s="168">
        <f>L93*'Revenue Schedule'!L27</f>
        <v>4087.1032515311585</v>
      </c>
      <c r="M92" s="168">
        <f>M93*'Revenue Schedule'!M27</f>
        <v>4377.1318697070601</v>
      </c>
      <c r="N92" s="169">
        <f>N93*'Revenue Schedule'!N27</f>
        <v>4774.6637173891777</v>
      </c>
    </row>
    <row r="93" spans="1:14" x14ac:dyDescent="0.25">
      <c r="A93" s="125"/>
      <c r="B93" s="45"/>
      <c r="C93" s="178" t="s">
        <v>172</v>
      </c>
      <c r="D93" s="185" t="s">
        <v>51</v>
      </c>
      <c r="E93" s="296">
        <f>E92/'Revenue Schedule'!E27</f>
        <v>6.1192126491323204E-2</v>
      </c>
      <c r="F93" s="296">
        <f>F92/'Revenue Schedule'!F27</f>
        <v>5.1907696098534906E-2</v>
      </c>
      <c r="G93" s="296">
        <f>G92/'Revenue Schedule'!G27</f>
        <v>6.0452230020210301E-2</v>
      </c>
      <c r="H93" s="296">
        <f>H92/'Revenue Schedule'!H27</f>
        <v>6.2614817938435596E-2</v>
      </c>
      <c r="I93" s="296">
        <f>I92/'Revenue Schedule'!I27</f>
        <v>6.6078111738449671E-2</v>
      </c>
      <c r="J93" s="126">
        <f>AVERAGE(G93:I93)</f>
        <v>6.3048386565698514E-2</v>
      </c>
      <c r="K93" s="126">
        <f t="shared" ref="K93:N93" si="69">AVERAGE(H93:J93)</f>
        <v>6.3913772080861256E-2</v>
      </c>
      <c r="L93" s="126">
        <f t="shared" si="69"/>
        <v>6.4346756795003138E-2</v>
      </c>
      <c r="M93" s="126">
        <f t="shared" si="69"/>
        <v>6.3769638480520974E-2</v>
      </c>
      <c r="N93" s="127">
        <f t="shared" si="69"/>
        <v>6.4010055785461789E-2</v>
      </c>
    </row>
    <row r="95" spans="1:14" x14ac:dyDescent="0.25">
      <c r="A95" s="118" t="s">
        <v>225</v>
      </c>
      <c r="B95" s="3"/>
      <c r="C95" s="3"/>
      <c r="D95" s="24"/>
      <c r="E95" s="231"/>
      <c r="F95" s="231"/>
      <c r="G95" s="231"/>
      <c r="H95" s="231"/>
      <c r="I95" s="231"/>
      <c r="J95" s="231"/>
      <c r="K95" s="231"/>
      <c r="L95" s="231"/>
      <c r="M95" s="231"/>
      <c r="N95" s="266"/>
    </row>
    <row r="96" spans="1:14" x14ac:dyDescent="0.25">
      <c r="A96" s="267"/>
      <c r="B96" t="s">
        <v>226</v>
      </c>
      <c r="D96" s="18" t="s">
        <v>69</v>
      </c>
      <c r="E96" s="222">
        <v>20213</v>
      </c>
      <c r="F96" s="222">
        <v>12033</v>
      </c>
      <c r="G96" s="222">
        <v>36360</v>
      </c>
      <c r="H96" s="222">
        <v>30406</v>
      </c>
      <c r="I96" s="222">
        <v>28406</v>
      </c>
      <c r="J96" s="221"/>
      <c r="K96" s="221"/>
      <c r="L96" s="221"/>
      <c r="M96" s="221"/>
      <c r="N96" s="268"/>
    </row>
    <row r="97" spans="1:16" x14ac:dyDescent="0.25">
      <c r="A97" s="36"/>
      <c r="B97" t="s">
        <v>228</v>
      </c>
      <c r="D97" s="18" t="s">
        <v>69</v>
      </c>
      <c r="E97" s="221">
        <f t="shared" ref="E97:I97" si="70">E96-E101</f>
        <v>16108</v>
      </c>
      <c r="F97" s="221">
        <f t="shared" si="70"/>
        <v>12033</v>
      </c>
      <c r="G97" s="221">
        <f t="shared" si="70"/>
        <v>27600</v>
      </c>
      <c r="H97" s="221">
        <f t="shared" si="70"/>
        <v>22339</v>
      </c>
      <c r="I97" s="221">
        <f t="shared" si="70"/>
        <v>21672</v>
      </c>
      <c r="J97" s="221"/>
      <c r="K97" s="221"/>
      <c r="L97" s="221"/>
      <c r="M97" s="221"/>
      <c r="N97" s="268"/>
    </row>
    <row r="98" spans="1:16" x14ac:dyDescent="0.25">
      <c r="A98" s="36"/>
      <c r="C98" t="s">
        <v>227</v>
      </c>
      <c r="D98" s="18" t="s">
        <v>50</v>
      </c>
      <c r="E98" s="222">
        <v>5.7</v>
      </c>
      <c r="F98" s="222">
        <v>4.5999999999999996</v>
      </c>
      <c r="G98" s="222">
        <f>7.9</f>
        <v>7.9</v>
      </c>
      <c r="H98" s="222">
        <f>6.1</f>
        <v>6.1</v>
      </c>
      <c r="I98" s="222">
        <v>6.1</v>
      </c>
      <c r="J98" s="221"/>
      <c r="K98" s="221"/>
      <c r="L98" s="221"/>
      <c r="M98" s="221"/>
      <c r="N98" s="268"/>
    </row>
    <row r="99" spans="1:16" x14ac:dyDescent="0.25">
      <c r="A99" s="36"/>
      <c r="C99" t="s">
        <v>231</v>
      </c>
      <c r="D99" s="18" t="s">
        <v>87</v>
      </c>
      <c r="E99" s="221">
        <f t="shared" ref="E99:I99" si="71">E97/E98</f>
        <v>2825.9649122807018</v>
      </c>
      <c r="F99" s="221">
        <f t="shared" si="71"/>
        <v>2615.8695652173915</v>
      </c>
      <c r="G99" s="221">
        <f t="shared" si="71"/>
        <v>3493.6708860759491</v>
      </c>
      <c r="H99" s="221">
        <f t="shared" si="71"/>
        <v>3662.1311475409839</v>
      </c>
      <c r="I99" s="221">
        <f t="shared" si="71"/>
        <v>3552.7868852459019</v>
      </c>
      <c r="J99" s="221"/>
      <c r="K99" s="221"/>
      <c r="L99" s="221"/>
      <c r="M99" s="221"/>
      <c r="N99" s="268"/>
    </row>
    <row r="100" spans="1:16" x14ac:dyDescent="0.25">
      <c r="A100" s="36"/>
      <c r="C100" s="6" t="s">
        <v>255</v>
      </c>
      <c r="D100" s="269">
        <v>0.15</v>
      </c>
      <c r="E100" s="221">
        <f t="shared" ref="E100:I100" si="72">E99*(1+$D$100)</f>
        <v>3249.8596491228068</v>
      </c>
      <c r="F100" s="221">
        <f t="shared" si="72"/>
        <v>3008.25</v>
      </c>
      <c r="G100" s="221">
        <f t="shared" si="72"/>
        <v>4017.7215189873409</v>
      </c>
      <c r="H100" s="221">
        <f t="shared" si="72"/>
        <v>4211.4508196721308</v>
      </c>
      <c r="I100" s="221">
        <f t="shared" si="72"/>
        <v>4085.7049180327867</v>
      </c>
      <c r="J100" s="240">
        <f t="shared" ref="J100:L100" si="73">AVERAGE(G100:I100)</f>
        <v>4104.9590855640863</v>
      </c>
      <c r="K100" s="240">
        <f t="shared" si="73"/>
        <v>4134.038274423001</v>
      </c>
      <c r="L100" s="240">
        <f t="shared" si="73"/>
        <v>4108.2340926732913</v>
      </c>
      <c r="M100" s="240">
        <f t="shared" ref="M100" si="74">AVERAGE(J100:L100)</f>
        <v>4115.7438175534589</v>
      </c>
      <c r="N100" s="270">
        <f t="shared" ref="N100" si="75">AVERAGE(K100:M100)</f>
        <v>4119.3387282165831</v>
      </c>
    </row>
    <row r="101" spans="1:16" x14ac:dyDescent="0.25">
      <c r="A101" s="36"/>
      <c r="B101" t="s">
        <v>229</v>
      </c>
      <c r="D101" s="18" t="s">
        <v>69</v>
      </c>
      <c r="E101" s="222">
        <v>4105</v>
      </c>
      <c r="F101" s="222">
        <v>0</v>
      </c>
      <c r="G101" s="222">
        <v>8760</v>
      </c>
      <c r="H101" s="222">
        <v>8067</v>
      </c>
      <c r="I101" s="222">
        <v>6734</v>
      </c>
      <c r="J101" s="221"/>
      <c r="L101" s="221"/>
      <c r="M101" s="221"/>
      <c r="N101" s="268"/>
    </row>
    <row r="102" spans="1:16" x14ac:dyDescent="0.25">
      <c r="A102" s="36"/>
      <c r="C102" t="s">
        <v>230</v>
      </c>
      <c r="D102" s="18" t="s">
        <v>106</v>
      </c>
      <c r="E102" s="222">
        <v>619</v>
      </c>
      <c r="F102" s="222">
        <v>0</v>
      </c>
      <c r="G102" s="222">
        <v>518</v>
      </c>
      <c r="H102" s="222">
        <v>518</v>
      </c>
      <c r="I102" s="222">
        <v>518</v>
      </c>
      <c r="J102" s="221"/>
      <c r="K102" s="221"/>
      <c r="L102" s="221"/>
      <c r="M102" s="221"/>
      <c r="N102" s="268"/>
    </row>
    <row r="103" spans="1:16" x14ac:dyDescent="0.25">
      <c r="A103" s="36"/>
      <c r="C103" t="s">
        <v>232</v>
      </c>
      <c r="D103" s="18" t="s">
        <v>236</v>
      </c>
      <c r="E103" s="221">
        <f t="shared" ref="E103:I103" si="76">E101/E102</f>
        <v>6.6316639741518575</v>
      </c>
      <c r="F103" s="221">
        <v>0</v>
      </c>
      <c r="G103" s="221">
        <f t="shared" si="76"/>
        <v>16.91119691119691</v>
      </c>
      <c r="H103" s="221">
        <f t="shared" si="76"/>
        <v>15.573359073359073</v>
      </c>
      <c r="I103" s="221">
        <f t="shared" si="76"/>
        <v>13</v>
      </c>
      <c r="J103" s="221"/>
      <c r="K103" s="221"/>
      <c r="L103" s="221"/>
      <c r="M103" s="221"/>
      <c r="N103" s="268"/>
    </row>
    <row r="104" spans="1:16" x14ac:dyDescent="0.25">
      <c r="A104" s="36"/>
      <c r="B104" t="s">
        <v>235</v>
      </c>
      <c r="D104" s="18" t="s">
        <v>69</v>
      </c>
      <c r="E104" s="222">
        <v>484</v>
      </c>
      <c r="F104" s="222">
        <v>1359</v>
      </c>
      <c r="G104" s="222">
        <v>556</v>
      </c>
      <c r="H104" s="222">
        <v>253</v>
      </c>
      <c r="I104" s="222">
        <v>2265</v>
      </c>
      <c r="J104" s="221"/>
      <c r="K104" s="221"/>
      <c r="L104" s="221"/>
      <c r="M104" s="221"/>
      <c r="N104" s="268"/>
    </row>
    <row r="105" spans="1:16" x14ac:dyDescent="0.25">
      <c r="A105" s="36"/>
      <c r="B105" t="s">
        <v>233</v>
      </c>
      <c r="D105" s="18" t="s">
        <v>69</v>
      </c>
      <c r="E105" s="222">
        <v>8153</v>
      </c>
      <c r="F105" s="222">
        <v>6646</v>
      </c>
      <c r="G105" s="222">
        <f>5222</f>
        <v>5222</v>
      </c>
      <c r="H105" s="222">
        <f>7010</f>
        <v>7010</v>
      </c>
      <c r="I105" s="222">
        <f>6528</f>
        <v>6528</v>
      </c>
      <c r="J105" s="221"/>
      <c r="K105" s="221"/>
      <c r="L105" s="221"/>
      <c r="M105" s="221"/>
      <c r="N105" s="268"/>
    </row>
    <row r="106" spans="1:16" x14ac:dyDescent="0.25">
      <c r="A106" s="125"/>
      <c r="B106" s="45" t="s">
        <v>234</v>
      </c>
      <c r="C106" s="45"/>
      <c r="D106" s="271" t="s">
        <v>69</v>
      </c>
      <c r="E106" s="272">
        <f t="shared" ref="E106:I106" si="77">E105/3</f>
        <v>2717.6666666666665</v>
      </c>
      <c r="F106" s="272">
        <f t="shared" si="77"/>
        <v>2215.3333333333335</v>
      </c>
      <c r="G106" s="272">
        <f t="shared" si="77"/>
        <v>1740.6666666666667</v>
      </c>
      <c r="H106" s="272">
        <f t="shared" si="77"/>
        <v>2336.6666666666665</v>
      </c>
      <c r="I106" s="272">
        <f t="shared" si="77"/>
        <v>2176</v>
      </c>
      <c r="J106" s="273">
        <f>AVERAGE(E106:I106)</f>
        <v>2237.2666666666669</v>
      </c>
      <c r="K106" s="273">
        <f t="shared" ref="K106:N106" si="78">J106</f>
        <v>2237.2666666666669</v>
      </c>
      <c r="L106" s="273">
        <f t="shared" si="78"/>
        <v>2237.2666666666669</v>
      </c>
      <c r="M106" s="273">
        <f t="shared" si="78"/>
        <v>2237.2666666666669</v>
      </c>
      <c r="N106" s="274">
        <f t="shared" si="78"/>
        <v>2237.2666666666669</v>
      </c>
    </row>
    <row r="107" spans="1:16" x14ac:dyDescent="0.25">
      <c r="E107" s="221"/>
      <c r="F107" s="221"/>
      <c r="G107" s="221"/>
      <c r="H107" s="221"/>
      <c r="I107" s="221"/>
      <c r="J107" s="221"/>
      <c r="K107" s="221"/>
      <c r="L107" s="221"/>
      <c r="M107" s="221"/>
      <c r="N107" s="221"/>
    </row>
    <row r="108" spans="1:16" x14ac:dyDescent="0.25">
      <c r="A108" s="118" t="s">
        <v>189</v>
      </c>
      <c r="B108" s="3"/>
      <c r="C108" s="3"/>
      <c r="D108" s="24"/>
      <c r="E108" s="231"/>
      <c r="F108" s="231"/>
      <c r="G108" s="231"/>
      <c r="H108" s="231"/>
      <c r="I108" s="231"/>
      <c r="J108" s="231"/>
      <c r="K108" s="231"/>
      <c r="L108" s="231"/>
      <c r="M108" s="231"/>
      <c r="N108" s="266"/>
    </row>
    <row r="109" spans="1:16" x14ac:dyDescent="0.25">
      <c r="A109" s="36"/>
      <c r="B109" t="s">
        <v>191</v>
      </c>
      <c r="D109" s="18" t="s">
        <v>193</v>
      </c>
      <c r="E109" s="221"/>
      <c r="F109" s="221">
        <f>(AVERAGE(BS!E20:F20))/('P&amp;L'!E10/365)</f>
        <v>112.3748241912799</v>
      </c>
      <c r="G109" s="221">
        <f>(AVERAGE(BS!F20:G20))/('P&amp;L'!F10/365)</f>
        <v>101.4296699396664</v>
      </c>
      <c r="H109" s="221">
        <f>(AVERAGE(BS!G20:H20))/('P&amp;L'!G10/365)</f>
        <v>40.595048946747987</v>
      </c>
      <c r="I109" s="221">
        <f>(AVERAGE(BS!H20:I20))/('P&amp;L'!H10/365)</f>
        <v>42.440631335070954</v>
      </c>
      <c r="J109" s="240">
        <f t="shared" ref="J109:N109" si="79">AVERAGE(H109:I109)</f>
        <v>41.51784014090947</v>
      </c>
      <c r="K109" s="240">
        <f t="shared" si="79"/>
        <v>41.979235737990209</v>
      </c>
      <c r="L109" s="240">
        <f t="shared" si="79"/>
        <v>41.748537939449839</v>
      </c>
      <c r="M109" s="240">
        <f t="shared" si="79"/>
        <v>41.86388683872002</v>
      </c>
      <c r="N109" s="270">
        <f t="shared" si="79"/>
        <v>41.806212389084934</v>
      </c>
    </row>
    <row r="110" spans="1:16" x14ac:dyDescent="0.25">
      <c r="A110" s="36"/>
      <c r="B110" t="s">
        <v>192</v>
      </c>
      <c r="D110" s="18" t="s">
        <v>193</v>
      </c>
      <c r="E110" s="221"/>
      <c r="F110" s="221">
        <f>AVERAGE(BS!E23:F23)/('P&amp;L'!E4/365)</f>
        <v>8.3425986730612784</v>
      </c>
      <c r="G110" s="221">
        <f>AVERAGE(BS!F23:G23)/('P&amp;L'!F4/365)</f>
        <v>6.8363155061170824</v>
      </c>
      <c r="H110" s="221">
        <f>AVERAGE(BS!G23:H23)/('P&amp;L'!G4/365)</f>
        <v>4.5450174189942922</v>
      </c>
      <c r="I110" s="221">
        <f>AVERAGE(BS!H23:I23)/('P&amp;L'!H4/365)</f>
        <v>5.7837014562645752</v>
      </c>
      <c r="J110" s="240">
        <f t="shared" ref="J110:N110" si="80">AVERAGE(H110:I110)</f>
        <v>5.1643594376294342</v>
      </c>
      <c r="K110" s="240">
        <f t="shared" si="80"/>
        <v>5.4740304469470047</v>
      </c>
      <c r="L110" s="240">
        <f t="shared" si="80"/>
        <v>5.3191949422882194</v>
      </c>
      <c r="M110" s="240">
        <f t="shared" si="80"/>
        <v>5.3966126946176125</v>
      </c>
      <c r="N110" s="270">
        <f t="shared" si="80"/>
        <v>5.3579038184529164</v>
      </c>
      <c r="P110" s="18"/>
    </row>
    <row r="111" spans="1:16" x14ac:dyDescent="0.25">
      <c r="A111" s="36"/>
      <c r="B111" t="s">
        <v>194</v>
      </c>
      <c r="D111" s="18" t="s">
        <v>193</v>
      </c>
      <c r="E111" s="221"/>
      <c r="F111" s="221">
        <f>AVERAGE(SUM(BS!E53:F53),SUM(BS!E54:F54))/('P&amp;L'!E21/365)</f>
        <v>27.149796378980422</v>
      </c>
      <c r="G111" s="221">
        <f>AVERAGE(SUM(BS!F53:G53),SUM(BS!F54:G54))/('P&amp;L'!F21/365)</f>
        <v>21.718245637795984</v>
      </c>
      <c r="H111" s="221">
        <f>AVERAGE(SUM(BS!G53:H53),SUM(BS!G54:H54))/('P&amp;L'!G21/365)</f>
        <v>18.739464879885919</v>
      </c>
      <c r="I111" s="221">
        <f>AVERAGE(SUM(BS!H53:I53),SUM(BS!H54:I54))/('P&amp;L'!H21/365)</f>
        <v>19.10794558090527</v>
      </c>
      <c r="J111" s="240">
        <f t="shared" ref="J111:N111" si="81">AVERAGE(H111:I111)</f>
        <v>18.923705230395594</v>
      </c>
      <c r="K111" s="240">
        <f t="shared" si="81"/>
        <v>19.015825405650432</v>
      </c>
      <c r="L111" s="240">
        <f t="shared" si="81"/>
        <v>18.969765318023015</v>
      </c>
      <c r="M111" s="240">
        <f t="shared" si="81"/>
        <v>18.992795361836723</v>
      </c>
      <c r="N111" s="270">
        <f t="shared" si="81"/>
        <v>18.981280339929867</v>
      </c>
      <c r="P111" s="209"/>
    </row>
    <row r="112" spans="1:16" x14ac:dyDescent="0.25">
      <c r="A112" s="36"/>
      <c r="B112" t="s">
        <v>203</v>
      </c>
      <c r="D112" s="18" t="s">
        <v>69</v>
      </c>
      <c r="E112" s="221">
        <f>'Asset Schedule'!E5</f>
        <v>2563.36</v>
      </c>
      <c r="F112" s="221">
        <f>'Asset Schedule'!F5</f>
        <v>8892.9500000000007</v>
      </c>
      <c r="G112" s="221">
        <f>'Asset Schedule'!G5</f>
        <v>80.94</v>
      </c>
      <c r="H112" s="221">
        <f>'Asset Schedule'!H5</f>
        <v>44.41</v>
      </c>
      <c r="I112" s="221">
        <f>'Asset Schedule'!I5</f>
        <v>121.9</v>
      </c>
      <c r="J112" s="240">
        <f t="shared" ref="J112:N112" si="82">I112*(1+J113)</f>
        <v>125.557</v>
      </c>
      <c r="K112" s="240">
        <f t="shared" si="82"/>
        <v>129.32371000000001</v>
      </c>
      <c r="L112" s="240">
        <f t="shared" si="82"/>
        <v>133.2034213</v>
      </c>
      <c r="M112" s="240">
        <f t="shared" si="82"/>
        <v>137.19952393900002</v>
      </c>
      <c r="N112" s="270">
        <f t="shared" si="82"/>
        <v>141.31550965717003</v>
      </c>
    </row>
    <row r="113" spans="1:14" x14ac:dyDescent="0.25">
      <c r="A113" s="36"/>
      <c r="C113" s="6" t="s">
        <v>57</v>
      </c>
      <c r="D113" s="30" t="s">
        <v>51</v>
      </c>
      <c r="E113" s="172"/>
      <c r="F113" s="224">
        <f t="shared" ref="F113:I113" si="83">F112/E112 -1</f>
        <v>2.4692551963048501</v>
      </c>
      <c r="G113" s="224">
        <f t="shared" si="83"/>
        <v>-0.99089840828971265</v>
      </c>
      <c r="H113" s="224">
        <f t="shared" si="83"/>
        <v>-0.45132196688905368</v>
      </c>
      <c r="I113" s="224">
        <f t="shared" si="83"/>
        <v>1.7448772798919165</v>
      </c>
      <c r="J113" s="241">
        <v>0.03</v>
      </c>
      <c r="K113" s="241">
        <f t="shared" ref="K113:N113" si="84">J113</f>
        <v>0.03</v>
      </c>
      <c r="L113" s="241">
        <f t="shared" si="84"/>
        <v>0.03</v>
      </c>
      <c r="M113" s="241">
        <f t="shared" si="84"/>
        <v>0.03</v>
      </c>
      <c r="N113" s="275">
        <f t="shared" si="84"/>
        <v>0.03</v>
      </c>
    </row>
    <row r="114" spans="1:14" x14ac:dyDescent="0.25">
      <c r="A114" s="36"/>
      <c r="B114" t="s">
        <v>217</v>
      </c>
      <c r="D114" s="18" t="s">
        <v>69</v>
      </c>
      <c r="E114" s="221">
        <f>'Asset Schedule'!E9</f>
        <v>674.89</v>
      </c>
      <c r="F114" s="221">
        <f>'Asset Schedule'!F9</f>
        <v>712.08</v>
      </c>
      <c r="G114" s="221">
        <f>'Asset Schedule'!G9</f>
        <v>1081.79</v>
      </c>
      <c r="H114" s="221">
        <f>'Asset Schedule'!H9</f>
        <v>1080.98</v>
      </c>
      <c r="I114" s="221">
        <f>'Asset Schedule'!I9</f>
        <v>1042.49</v>
      </c>
      <c r="J114" s="257"/>
      <c r="K114" s="257"/>
      <c r="L114" s="257"/>
      <c r="M114" s="257"/>
      <c r="N114" s="295"/>
    </row>
    <row r="115" spans="1:14" x14ac:dyDescent="0.25">
      <c r="A115" s="36"/>
      <c r="C115" s="6" t="s">
        <v>223</v>
      </c>
      <c r="D115" s="30" t="s">
        <v>51</v>
      </c>
      <c r="E115" s="224">
        <f>E114/'Asset Schedule'!E7</f>
        <v>2.7732052383085209E-2</v>
      </c>
      <c r="F115" s="224">
        <f>F114/'Asset Schedule'!F7</f>
        <v>2.143928771754142E-2</v>
      </c>
      <c r="G115" s="224">
        <f>G114/'Asset Schedule'!G7</f>
        <v>3.2491328207196753E-2</v>
      </c>
      <c r="H115" s="224">
        <f>H114/'Asset Schedule'!H7</f>
        <v>3.2440751018781466E-2</v>
      </c>
      <c r="I115" s="224">
        <f>I114/'Asset Schedule'!I7</f>
        <v>3.1354940428049413E-2</v>
      </c>
      <c r="J115" s="241">
        <f t="shared" ref="J115:N115" si="85">AVERAGE(G115:I115)</f>
        <v>3.2095673218009206E-2</v>
      </c>
      <c r="K115" s="241">
        <f t="shared" si="85"/>
        <v>3.196378822161336E-2</v>
      </c>
      <c r="L115" s="241">
        <f t="shared" si="85"/>
        <v>3.1804800622557326E-2</v>
      </c>
      <c r="M115" s="241">
        <f t="shared" si="85"/>
        <v>3.1954754020726638E-2</v>
      </c>
      <c r="N115" s="275">
        <f t="shared" si="85"/>
        <v>3.1907780954965777E-2</v>
      </c>
    </row>
    <row r="116" spans="1:14" x14ac:dyDescent="0.25">
      <c r="A116" s="36"/>
      <c r="B116" s="17" t="s">
        <v>214</v>
      </c>
      <c r="C116" s="17"/>
      <c r="D116" s="18" t="s">
        <v>69</v>
      </c>
      <c r="E116" s="221">
        <f>'Asset Schedule'!E17</f>
        <v>1205.22</v>
      </c>
      <c r="F116" s="221">
        <f>'Asset Schedule'!F17</f>
        <v>13469.91</v>
      </c>
      <c r="G116" s="221">
        <f>'Asset Schedule'!G17</f>
        <v>7092.1</v>
      </c>
      <c r="H116" s="221">
        <f>'Asset Schedule'!H17</f>
        <v>23369.61</v>
      </c>
      <c r="I116" s="221">
        <f>'Asset Schedule'!I17</f>
        <v>29735.759999999998</v>
      </c>
      <c r="J116" s="240">
        <f>'Asset Schedule'!J32*1.1</f>
        <v>18909.750647852252</v>
      </c>
      <c r="K116" s="240">
        <f>'Asset Schedule'!K32*1.1</f>
        <v>14333.259927785848</v>
      </c>
      <c r="L116" s="240">
        <f>'Asset Schedule'!L32*1.1</f>
        <v>12362.626921130095</v>
      </c>
      <c r="M116" s="240">
        <f>'Asset Schedule'!M32*1.1</f>
        <v>11174.341671927903</v>
      </c>
      <c r="N116" s="270">
        <f>'Asset Schedule'!N32*1.1</f>
        <v>9420.2207217073319</v>
      </c>
    </row>
    <row r="117" spans="1:14" x14ac:dyDescent="0.25">
      <c r="A117" s="36"/>
      <c r="B117" t="s">
        <v>218</v>
      </c>
      <c r="C117" s="6"/>
      <c r="D117" s="18" t="s">
        <v>69</v>
      </c>
      <c r="E117" s="221">
        <f>'Asset Schedule'!E22</f>
        <v>4265.26</v>
      </c>
      <c r="F117" s="221">
        <f>'Asset Schedule'!F22</f>
        <v>5284</v>
      </c>
      <c r="G117" s="221">
        <f>'Asset Schedule'!G22</f>
        <v>8083.13</v>
      </c>
      <c r="H117" s="221">
        <f>'Asset Schedule'!H22</f>
        <v>6491.26</v>
      </c>
      <c r="I117" s="221">
        <f>'Asset Schedule'!I22</f>
        <v>8255.48</v>
      </c>
      <c r="J117" s="257"/>
      <c r="K117" s="257"/>
      <c r="L117" s="257"/>
      <c r="M117" s="257"/>
      <c r="N117" s="295"/>
    </row>
    <row r="118" spans="1:14" x14ac:dyDescent="0.25">
      <c r="A118" s="36"/>
      <c r="C118" s="6" t="s">
        <v>222</v>
      </c>
      <c r="D118" s="30" t="s">
        <v>51</v>
      </c>
      <c r="E118" s="224">
        <f>E117/'Asset Schedule'!E16</f>
        <v>2.1488668378266181E-2</v>
      </c>
      <c r="F118" s="224">
        <f>F117/'Asset Schedule'!F16</f>
        <v>1.8801582706130589E-2</v>
      </c>
      <c r="G118" s="224">
        <f>G117/'Asset Schedule'!G16</f>
        <v>2.7447500580741472E-2</v>
      </c>
      <c r="H118" s="224">
        <f>H117/'Asset Schedule'!H16</f>
        <v>2.1525403916763598E-2</v>
      </c>
      <c r="I118" s="224">
        <f>I117/'Asset Schedule'!I16</f>
        <v>2.5414734030338969E-2</v>
      </c>
      <c r="J118" s="241">
        <f t="shared" ref="J118:N118" si="86">AVERAGE(E118:I118)</f>
        <v>2.2935577922448158E-2</v>
      </c>
      <c r="K118" s="241">
        <f t="shared" si="86"/>
        <v>2.3224959831284558E-2</v>
      </c>
      <c r="L118" s="241">
        <f t="shared" si="86"/>
        <v>2.4109635256315352E-2</v>
      </c>
      <c r="M118" s="241">
        <f t="shared" si="86"/>
        <v>2.3442062191430128E-2</v>
      </c>
      <c r="N118" s="275">
        <f t="shared" si="86"/>
        <v>2.3825393846363434E-2</v>
      </c>
    </row>
    <row r="119" spans="1:14" x14ac:dyDescent="0.25">
      <c r="A119" s="36"/>
      <c r="B119" t="s">
        <v>215</v>
      </c>
      <c r="D119" s="18" t="s">
        <v>69</v>
      </c>
      <c r="E119" s="221"/>
      <c r="F119" s="221"/>
      <c r="G119" s="221">
        <f>'Asset Schedule'!G30</f>
        <v>8363.23</v>
      </c>
      <c r="H119" s="221">
        <f>'Asset Schedule'!H30</f>
        <v>11889.52</v>
      </c>
      <c r="I119" s="221">
        <f>'Asset Schedule'!I30</f>
        <v>16885.48</v>
      </c>
      <c r="J119" s="257"/>
      <c r="K119" s="257"/>
      <c r="L119" s="257"/>
      <c r="M119" s="257"/>
      <c r="N119" s="295"/>
    </row>
    <row r="120" spans="1:14" x14ac:dyDescent="0.25">
      <c r="A120" s="36"/>
      <c r="C120" s="6" t="s">
        <v>216</v>
      </c>
      <c r="D120" s="30" t="s">
        <v>51</v>
      </c>
      <c r="E120" s="224"/>
      <c r="F120" s="224"/>
      <c r="G120" s="224">
        <f>G119/'Asset Schedule'!G29</f>
        <v>1.2335183879598466</v>
      </c>
      <c r="H120" s="224">
        <f>H119/'Asset Schedule'!H29</f>
        <v>0.98556164360851173</v>
      </c>
      <c r="I120" s="224">
        <f>I119/'Asset Schedule'!I29</f>
        <v>1.0219088363400668</v>
      </c>
      <c r="J120" s="241">
        <v>0.85</v>
      </c>
      <c r="K120" s="241">
        <v>0.6</v>
      </c>
      <c r="L120" s="241">
        <v>0.4</v>
      </c>
      <c r="M120" s="241">
        <v>0.2</v>
      </c>
      <c r="N120" s="275">
        <v>0.2</v>
      </c>
    </row>
    <row r="121" spans="1:14" x14ac:dyDescent="0.25">
      <c r="A121" s="36"/>
      <c r="B121" t="s">
        <v>237</v>
      </c>
      <c r="C121" s="6"/>
      <c r="D121" s="18" t="s">
        <v>69</v>
      </c>
      <c r="E121" s="221">
        <f>BS!E6</f>
        <v>4739.47</v>
      </c>
      <c r="F121" s="221">
        <f>BS!F6</f>
        <v>324.8</v>
      </c>
      <c r="G121" s="221">
        <f>BS!G6</f>
        <v>604.67999999999995</v>
      </c>
      <c r="H121" s="221">
        <f>BS!H6</f>
        <v>1511.5</v>
      </c>
      <c r="I121" s="221">
        <f>BS!I6</f>
        <v>3129.01</v>
      </c>
      <c r="J121" s="173">
        <f>3500+(0.2*J106)</f>
        <v>3947.4533333333334</v>
      </c>
      <c r="K121" s="173">
        <f>3000+(0.2*K106)</f>
        <v>3447.4533333333334</v>
      </c>
      <c r="L121" s="173">
        <f>1000+(0.2*L106)</f>
        <v>1447.4533333333334</v>
      </c>
      <c r="M121" s="173">
        <f>1000+(0.2*M106)</f>
        <v>1447.4533333333334</v>
      </c>
      <c r="N121" s="276">
        <f>1000+(0.2*N106)</f>
        <v>1447.4533333333334</v>
      </c>
    </row>
    <row r="122" spans="1:14" x14ac:dyDescent="0.25">
      <c r="A122" s="36"/>
      <c r="B122" t="s">
        <v>123</v>
      </c>
      <c r="C122" s="6"/>
      <c r="D122" s="228" t="s">
        <v>69</v>
      </c>
      <c r="E122" s="221">
        <f>BS!E10</f>
        <v>15924.64</v>
      </c>
      <c r="F122" s="221">
        <f>BS!F10</f>
        <v>13978</v>
      </c>
      <c r="G122" s="221">
        <f>BS!G10</f>
        <v>11864.35</v>
      </c>
      <c r="H122" s="221">
        <f>BS!H10</f>
        <v>9747.34</v>
      </c>
      <c r="I122" s="221">
        <f>BS!I10</f>
        <v>6387.79</v>
      </c>
      <c r="J122" s="257"/>
      <c r="K122" s="257"/>
      <c r="L122" s="257"/>
      <c r="M122" s="257"/>
      <c r="N122" s="295"/>
    </row>
    <row r="123" spans="1:14" x14ac:dyDescent="0.25">
      <c r="A123" s="36"/>
      <c r="C123" s="6" t="s">
        <v>198</v>
      </c>
      <c r="D123" s="228" t="s">
        <v>69</v>
      </c>
      <c r="E123" s="221">
        <f>'Asset Schedule'!E37</f>
        <v>1.53</v>
      </c>
      <c r="F123" s="221">
        <f>'Asset Schedule'!F37</f>
        <v>21.91</v>
      </c>
      <c r="G123" s="221">
        <f>'Asset Schedule'!G37</f>
        <v>5.59</v>
      </c>
      <c r="H123" s="221">
        <f>'Asset Schedule'!H37</f>
        <v>0.64</v>
      </c>
      <c r="I123" s="221">
        <f>'Asset Schedule'!I37</f>
        <v>0.26</v>
      </c>
      <c r="J123" s="240">
        <f t="shared" ref="J123:N123" si="87">AVERAGE(G123:I123)</f>
        <v>2.1633333333333331</v>
      </c>
      <c r="K123" s="240">
        <f t="shared" si="87"/>
        <v>1.0211111111111111</v>
      </c>
      <c r="L123" s="240">
        <f t="shared" si="87"/>
        <v>1.1481481481481479</v>
      </c>
      <c r="M123" s="240">
        <f t="shared" si="87"/>
        <v>1.4441975308641972</v>
      </c>
      <c r="N123" s="270">
        <f t="shared" si="87"/>
        <v>1.2044855967078185</v>
      </c>
    </row>
    <row r="124" spans="1:14" x14ac:dyDescent="0.25">
      <c r="A124" s="36"/>
      <c r="B124" t="s">
        <v>245</v>
      </c>
      <c r="C124" s="6"/>
      <c r="D124" s="228" t="s">
        <v>69</v>
      </c>
      <c r="E124" s="221">
        <f>'Asset Schedule'!E41:I41</f>
        <v>766.82</v>
      </c>
      <c r="F124" s="221">
        <f>'Asset Schedule'!F41:J41</f>
        <v>1968.55</v>
      </c>
      <c r="G124" s="221">
        <f>'Asset Schedule'!G41:K41</f>
        <v>2119.2399999999998</v>
      </c>
      <c r="H124" s="221">
        <f>'Asset Schedule'!H41:L41</f>
        <v>2117.65</v>
      </c>
      <c r="I124" s="221">
        <f>'Asset Schedule'!I41:M41</f>
        <v>2117.1799999999998</v>
      </c>
      <c r="J124" s="257"/>
      <c r="K124" s="257"/>
      <c r="L124" s="257"/>
      <c r="M124" s="257"/>
      <c r="N124" s="295"/>
    </row>
    <row r="125" spans="1:14" x14ac:dyDescent="0.25">
      <c r="A125" s="36"/>
      <c r="C125" s="6" t="s">
        <v>246</v>
      </c>
      <c r="D125" s="230" t="s">
        <v>51</v>
      </c>
      <c r="E125" s="224">
        <f>E124/'Asset Schedule'!E36</f>
        <v>0.14853368457753846</v>
      </c>
      <c r="F125" s="224">
        <f>F124/'Asset Schedule'!F36</f>
        <v>0.1168091759777365</v>
      </c>
      <c r="G125" s="224">
        <f>G124/'Asset Schedule'!G36</f>
        <v>0.12558749505914504</v>
      </c>
      <c r="H125" s="224">
        <f>H124/'Asset Schedule'!H36</f>
        <v>0.12545171265743296</v>
      </c>
      <c r="I125" s="224">
        <f>I124/'Asset Schedule'!I36</f>
        <v>0.12541911421469545</v>
      </c>
      <c r="J125" s="241">
        <f t="shared" ref="J125:N125" si="88">AVERAGE(G125:I125)</f>
        <v>0.12548610731042451</v>
      </c>
      <c r="K125" s="241">
        <f t="shared" si="88"/>
        <v>0.12545231139418431</v>
      </c>
      <c r="L125" s="241">
        <f t="shared" si="88"/>
        <v>0.12545251097310142</v>
      </c>
      <c r="M125" s="241">
        <f t="shared" si="88"/>
        <v>0.12546364322590342</v>
      </c>
      <c r="N125" s="275">
        <f t="shared" si="88"/>
        <v>0.12545615519772971</v>
      </c>
    </row>
    <row r="126" spans="1:14" x14ac:dyDescent="0.25">
      <c r="A126" s="36"/>
      <c r="B126" t="s">
        <v>124</v>
      </c>
      <c r="C126" s="6"/>
      <c r="D126" s="30" t="s">
        <v>69</v>
      </c>
      <c r="E126" s="221">
        <f>BS!E11</f>
        <v>24118.57</v>
      </c>
      <c r="F126" s="221">
        <f>BS!F11</f>
        <v>23634.69</v>
      </c>
      <c r="G126" s="221">
        <f>BS!G11</f>
        <v>23081.17</v>
      </c>
      <c r="H126" s="221">
        <f>BS!H11</f>
        <v>22910.35</v>
      </c>
      <c r="I126" s="221">
        <f>BS!I11</f>
        <v>22706.02</v>
      </c>
      <c r="J126" s="257"/>
      <c r="K126" s="257"/>
      <c r="L126" s="257"/>
      <c r="M126" s="257"/>
      <c r="N126" s="295"/>
    </row>
    <row r="127" spans="1:14" x14ac:dyDescent="0.25">
      <c r="A127" s="36"/>
      <c r="C127" t="s">
        <v>248</v>
      </c>
      <c r="D127" s="18" t="s">
        <v>69</v>
      </c>
      <c r="E127" s="221">
        <f>'P&amp;L'!E31</f>
        <v>994.48</v>
      </c>
      <c r="F127" s="221">
        <f>'P&amp;L'!F31</f>
        <v>962.14</v>
      </c>
      <c r="G127" s="221">
        <f>'P&amp;L'!G31</f>
        <v>777.5</v>
      </c>
      <c r="H127" s="221">
        <f>'P&amp;L'!H31</f>
        <v>892.11</v>
      </c>
      <c r="I127" s="221">
        <f>'P&amp;L'!I31</f>
        <v>1155.25</v>
      </c>
      <c r="J127" s="240">
        <f t="shared" ref="J127:N127" si="89">I127*(1+J128)</f>
        <v>1210.3433563015456</v>
      </c>
      <c r="K127" s="240">
        <f t="shared" si="89"/>
        <v>1268.0640901478382</v>
      </c>
      <c r="L127" s="240">
        <f t="shared" si="89"/>
        <v>1328.5375000000001</v>
      </c>
      <c r="M127" s="240">
        <f t="shared" si="89"/>
        <v>1391.8948597467775</v>
      </c>
      <c r="N127" s="270">
        <f t="shared" si="89"/>
        <v>1458.2737036700139</v>
      </c>
    </row>
    <row r="128" spans="1:14" x14ac:dyDescent="0.25">
      <c r="A128" s="36"/>
      <c r="C128" s="6" t="s">
        <v>57</v>
      </c>
      <c r="D128" s="30" t="s">
        <v>51</v>
      </c>
      <c r="E128" s="221"/>
      <c r="F128" s="221"/>
      <c r="G128" s="221"/>
      <c r="H128" s="221"/>
      <c r="I128" s="221"/>
      <c r="J128" s="136">
        <f>J16</f>
        <v>4.7689553171647248E-2</v>
      </c>
      <c r="K128" s="242">
        <f t="shared" ref="K128:N128" si="90">J128</f>
        <v>4.7689553171647248E-2</v>
      </c>
      <c r="L128" s="242">
        <f t="shared" si="90"/>
        <v>4.7689553171647248E-2</v>
      </c>
      <c r="M128" s="242">
        <f t="shared" si="90"/>
        <v>4.7689553171647248E-2</v>
      </c>
      <c r="N128" s="277">
        <f t="shared" si="90"/>
        <v>4.7689553171647248E-2</v>
      </c>
    </row>
    <row r="129" spans="1:14" x14ac:dyDescent="0.25">
      <c r="A129" s="36"/>
      <c r="C129" t="s">
        <v>250</v>
      </c>
      <c r="D129" s="18" t="s">
        <v>69</v>
      </c>
      <c r="E129" s="222">
        <v>915</v>
      </c>
      <c r="F129" s="222">
        <v>1400</v>
      </c>
      <c r="G129" s="222">
        <v>920</v>
      </c>
      <c r="H129" s="222">
        <v>700</v>
      </c>
      <c r="I129" s="222">
        <v>1003</v>
      </c>
      <c r="J129" s="240">
        <f t="shared" ref="J129:N129" si="91">I129*(1+J130)</f>
        <v>1050.8326218311622</v>
      </c>
      <c r="K129" s="240">
        <f t="shared" si="91"/>
        <v>1100.946360024481</v>
      </c>
      <c r="L129" s="240">
        <f t="shared" si="91"/>
        <v>1153.45</v>
      </c>
      <c r="M129" s="240">
        <f t="shared" si="91"/>
        <v>1208.4575151058366</v>
      </c>
      <c r="N129" s="270">
        <f t="shared" si="91"/>
        <v>1266.088314028153</v>
      </c>
    </row>
    <row r="130" spans="1:14" x14ac:dyDescent="0.25">
      <c r="A130" s="36"/>
      <c r="C130" s="6" t="s">
        <v>57</v>
      </c>
      <c r="D130" s="30" t="s">
        <v>51</v>
      </c>
      <c r="E130" s="222"/>
      <c r="F130" s="222"/>
      <c r="G130" s="222"/>
      <c r="H130" s="222"/>
      <c r="I130" s="222"/>
      <c r="J130" s="242">
        <f>J128</f>
        <v>4.7689553171647248E-2</v>
      </c>
      <c r="K130" s="242">
        <f t="shared" ref="K130:N130" si="92">J130</f>
        <v>4.7689553171647248E-2</v>
      </c>
      <c r="L130" s="242">
        <f t="shared" si="92"/>
        <v>4.7689553171647248E-2</v>
      </c>
      <c r="M130" s="242">
        <f t="shared" si="92"/>
        <v>4.7689553171647248E-2</v>
      </c>
      <c r="N130" s="277">
        <f t="shared" si="92"/>
        <v>4.7689553171647248E-2</v>
      </c>
    </row>
    <row r="131" spans="1:14" x14ac:dyDescent="0.25">
      <c r="A131" s="36"/>
      <c r="C131" t="s">
        <v>252</v>
      </c>
      <c r="D131" s="18" t="s">
        <v>69</v>
      </c>
      <c r="E131" s="221"/>
      <c r="F131" s="221">
        <f>F126-(E126+F127-F129)</f>
        <v>-46.020000000000437</v>
      </c>
      <c r="G131" s="221">
        <f t="shared" ref="G131:H131" si="93">G126-(F126+G127-G129)</f>
        <v>-411.02000000000044</v>
      </c>
      <c r="H131" s="221">
        <f t="shared" si="93"/>
        <v>-362.93000000000029</v>
      </c>
      <c r="I131" s="221">
        <f>I126-(H126+I127-I129)</f>
        <v>-356.57999999999811</v>
      </c>
      <c r="J131" s="240">
        <v>0</v>
      </c>
      <c r="K131" s="240">
        <v>0</v>
      </c>
      <c r="L131" s="240">
        <v>0</v>
      </c>
      <c r="M131" s="240">
        <v>0</v>
      </c>
      <c r="N131" s="270">
        <v>0</v>
      </c>
    </row>
    <row r="132" spans="1:14" x14ac:dyDescent="0.25">
      <c r="A132" s="36"/>
      <c r="B132" t="s">
        <v>238</v>
      </c>
      <c r="C132" s="6"/>
      <c r="D132" s="278" t="s">
        <v>69</v>
      </c>
      <c r="E132" s="221">
        <f>BS!E13</f>
        <v>0</v>
      </c>
      <c r="F132" s="221">
        <f>BS!F13</f>
        <v>0</v>
      </c>
      <c r="G132" s="221">
        <f>BS!G13</f>
        <v>8157.82</v>
      </c>
      <c r="H132" s="221">
        <f>BS!H13</f>
        <v>6700</v>
      </c>
      <c r="I132" s="221">
        <f>BS!I13</f>
        <v>6823.1</v>
      </c>
      <c r="J132" s="240">
        <f t="shared" ref="J132:N132" si="94">I132-J133</f>
        <v>6073.1</v>
      </c>
      <c r="K132" s="240">
        <f t="shared" si="94"/>
        <v>5323.1</v>
      </c>
      <c r="L132" s="240">
        <f t="shared" si="94"/>
        <v>4573.1000000000004</v>
      </c>
      <c r="M132" s="240">
        <f t="shared" si="94"/>
        <v>3823.1000000000004</v>
      </c>
      <c r="N132" s="270">
        <f t="shared" si="94"/>
        <v>3073.1000000000004</v>
      </c>
    </row>
    <row r="133" spans="1:14" x14ac:dyDescent="0.25">
      <c r="A133" s="36"/>
      <c r="C133" s="6" t="s">
        <v>28</v>
      </c>
      <c r="D133" s="279" t="s">
        <v>69</v>
      </c>
      <c r="E133" s="221"/>
      <c r="F133" s="221"/>
      <c r="G133" s="221"/>
      <c r="H133" s="221"/>
      <c r="I133" s="221"/>
      <c r="J133" s="173">
        <v>750</v>
      </c>
      <c r="K133" s="173">
        <v>750</v>
      </c>
      <c r="L133" s="173">
        <v>750</v>
      </c>
      <c r="M133" s="173">
        <v>750</v>
      </c>
      <c r="N133" s="276">
        <v>750</v>
      </c>
    </row>
    <row r="134" spans="1:14" x14ac:dyDescent="0.25">
      <c r="A134" s="36"/>
      <c r="B134" t="s">
        <v>239</v>
      </c>
      <c r="C134" s="6"/>
      <c r="D134" s="280" t="s">
        <v>69</v>
      </c>
      <c r="E134" s="221">
        <f>BS!E14</f>
        <v>4839.8</v>
      </c>
      <c r="F134" s="221">
        <f>BS!F14</f>
        <v>2781.36</v>
      </c>
      <c r="G134" s="221">
        <f>BS!G14</f>
        <v>3469.09</v>
      </c>
      <c r="H134" s="221">
        <f>BS!H14</f>
        <v>4002.05</v>
      </c>
      <c r="I134" s="221">
        <f>BS!I14</f>
        <v>6116.22</v>
      </c>
      <c r="J134" s="240">
        <f t="shared" ref="J134:N134" si="95">I134*(1+J135)</f>
        <v>7033.6529999999993</v>
      </c>
      <c r="K134" s="240">
        <f t="shared" si="95"/>
        <v>8088.7009499999986</v>
      </c>
      <c r="L134" s="240">
        <f t="shared" si="95"/>
        <v>9302.006092499998</v>
      </c>
      <c r="M134" s="240">
        <f t="shared" si="95"/>
        <v>10697.307006374996</v>
      </c>
      <c r="N134" s="270">
        <f t="shared" si="95"/>
        <v>12301.903057331245</v>
      </c>
    </row>
    <row r="135" spans="1:14" x14ac:dyDescent="0.25">
      <c r="A135" s="36"/>
      <c r="C135" s="6" t="s">
        <v>57</v>
      </c>
      <c r="D135" s="281" t="s">
        <v>51</v>
      </c>
      <c r="E135" s="221"/>
      <c r="F135" s="224">
        <f t="shared" ref="F135:I135" si="96">F134/E134 -1</f>
        <v>-0.42531509566511017</v>
      </c>
      <c r="G135" s="224">
        <f t="shared" si="96"/>
        <v>0.24726392843788658</v>
      </c>
      <c r="H135" s="224">
        <f t="shared" si="96"/>
        <v>0.15363106751338251</v>
      </c>
      <c r="I135" s="224">
        <f t="shared" si="96"/>
        <v>0.52827176072262971</v>
      </c>
      <c r="J135" s="134">
        <v>0.15</v>
      </c>
      <c r="K135" s="242">
        <f t="shared" ref="K135:N135" si="97">J135</f>
        <v>0.15</v>
      </c>
      <c r="L135" s="242">
        <f t="shared" si="97"/>
        <v>0.15</v>
      </c>
      <c r="M135" s="242">
        <f t="shared" si="97"/>
        <v>0.15</v>
      </c>
      <c r="N135" s="277">
        <f t="shared" si="97"/>
        <v>0.15</v>
      </c>
    </row>
    <row r="136" spans="1:14" x14ac:dyDescent="0.25">
      <c r="A136" s="36"/>
      <c r="B136" t="s">
        <v>128</v>
      </c>
      <c r="C136" s="6"/>
      <c r="D136" s="278" t="s">
        <v>69</v>
      </c>
      <c r="E136" s="221">
        <f>BS!E15</f>
        <v>48.84</v>
      </c>
      <c r="F136" s="221">
        <f>BS!F15</f>
        <v>89.3</v>
      </c>
      <c r="G136" s="221">
        <f>BS!G15</f>
        <v>121.1</v>
      </c>
      <c r="H136" s="221">
        <f>BS!H15</f>
        <v>162.05000000000001</v>
      </c>
      <c r="I136" s="221">
        <f>BS!I15</f>
        <v>120.52</v>
      </c>
      <c r="J136" s="240">
        <f t="shared" ref="J136:N136" si="98">I136</f>
        <v>120.52</v>
      </c>
      <c r="K136" s="240">
        <f t="shared" si="98"/>
        <v>120.52</v>
      </c>
      <c r="L136" s="240">
        <f t="shared" si="98"/>
        <v>120.52</v>
      </c>
      <c r="M136" s="240">
        <f t="shared" si="98"/>
        <v>120.52</v>
      </c>
      <c r="N136" s="270">
        <f t="shared" si="98"/>
        <v>120.52</v>
      </c>
    </row>
    <row r="137" spans="1:14" x14ac:dyDescent="0.25">
      <c r="A137" s="36"/>
      <c r="B137" t="s">
        <v>129</v>
      </c>
      <c r="D137" s="18" t="s">
        <v>69</v>
      </c>
      <c r="E137" s="221">
        <f>BS!E16</f>
        <v>1095.27</v>
      </c>
      <c r="F137" s="221">
        <f>BS!F16</f>
        <v>814.99</v>
      </c>
      <c r="G137" s="221">
        <f>BS!G16</f>
        <v>976.62</v>
      </c>
      <c r="H137" s="221">
        <f>BS!H16</f>
        <v>667.73</v>
      </c>
      <c r="I137" s="221">
        <f>BS!I16</f>
        <v>373.35</v>
      </c>
      <c r="J137" s="240">
        <f>MAX((I137*0.8),200)</f>
        <v>298.68</v>
      </c>
      <c r="K137" s="240">
        <f t="shared" ref="K137:N137" si="99">MAX((J137*0.8),200)</f>
        <v>238.94400000000002</v>
      </c>
      <c r="L137" s="240">
        <f t="shared" si="99"/>
        <v>200</v>
      </c>
      <c r="M137" s="240">
        <f t="shared" si="99"/>
        <v>200</v>
      </c>
      <c r="N137" s="270">
        <f t="shared" si="99"/>
        <v>200</v>
      </c>
    </row>
    <row r="138" spans="1:14" x14ac:dyDescent="0.25">
      <c r="A138" s="36"/>
      <c r="B138" t="s">
        <v>130</v>
      </c>
      <c r="D138" s="18" t="s">
        <v>69</v>
      </c>
      <c r="E138" s="221">
        <f>BS!E17</f>
        <v>18383.62</v>
      </c>
      <c r="F138" s="221">
        <f>BS!F17</f>
        <v>19001.37</v>
      </c>
      <c r="G138" s="221">
        <f>BS!G17</f>
        <v>19529.66</v>
      </c>
      <c r="H138" s="221">
        <f>BS!H17</f>
        <v>8803.7800000000007</v>
      </c>
      <c r="I138" s="221">
        <f>BS!I17</f>
        <v>2745.4</v>
      </c>
      <c r="J138" s="240">
        <f t="shared" ref="J138:N138" si="100">MAX((I138*0.8),1500)</f>
        <v>2196.3200000000002</v>
      </c>
      <c r="K138" s="240">
        <f t="shared" si="100"/>
        <v>1757.0560000000003</v>
      </c>
      <c r="L138" s="240">
        <f t="shared" si="100"/>
        <v>1500</v>
      </c>
      <c r="M138" s="240">
        <f t="shared" si="100"/>
        <v>1500</v>
      </c>
      <c r="N138" s="270">
        <f t="shared" si="100"/>
        <v>1500</v>
      </c>
    </row>
    <row r="139" spans="1:14" x14ac:dyDescent="0.25">
      <c r="A139" s="36"/>
      <c r="E139" s="221"/>
      <c r="F139" s="221"/>
      <c r="G139" s="221"/>
      <c r="H139" s="221"/>
      <c r="I139" s="221"/>
      <c r="J139" s="221"/>
      <c r="K139" s="221"/>
      <c r="L139" s="221"/>
      <c r="M139" s="221"/>
      <c r="N139" s="268"/>
    </row>
    <row r="140" spans="1:14" x14ac:dyDescent="0.25">
      <c r="A140" s="36"/>
      <c r="B140" t="s">
        <v>256</v>
      </c>
      <c r="D140" s="18" t="s">
        <v>69</v>
      </c>
      <c r="E140" s="221"/>
      <c r="F140" s="221"/>
      <c r="G140" s="221"/>
      <c r="H140" s="221">
        <f>BS!H22</f>
        <v>30.13</v>
      </c>
      <c r="I140" s="221">
        <f>BS!I22</f>
        <v>670.35</v>
      </c>
      <c r="J140" s="240">
        <f>J141+J142</f>
        <v>679.28620000000001</v>
      </c>
      <c r="K140" s="240">
        <f>K141+K142</f>
        <v>688.80325300000004</v>
      </c>
      <c r="L140" s="240">
        <f>L141+L142</f>
        <v>698.93891444500002</v>
      </c>
      <c r="M140" s="240">
        <f>M141+M142</f>
        <v>709.73339388392492</v>
      </c>
      <c r="N140" s="270">
        <f>N141+N142</f>
        <v>721.22951448638014</v>
      </c>
    </row>
    <row r="141" spans="1:14" x14ac:dyDescent="0.25">
      <c r="A141" s="36"/>
      <c r="C141" t="s">
        <v>257</v>
      </c>
      <c r="D141" s="18" t="s">
        <v>69</v>
      </c>
      <c r="E141" s="221"/>
      <c r="F141" s="221"/>
      <c r="G141" s="221"/>
      <c r="H141" s="221"/>
      <c r="I141" s="221">
        <f>422.31+110.56</f>
        <v>532.87</v>
      </c>
      <c r="J141" s="240">
        <f t="shared" ref="J141:N141" si="101">I141</f>
        <v>532.87</v>
      </c>
      <c r="K141" s="240">
        <f t="shared" si="101"/>
        <v>532.87</v>
      </c>
      <c r="L141" s="240">
        <f t="shared" si="101"/>
        <v>532.87</v>
      </c>
      <c r="M141" s="240">
        <f t="shared" si="101"/>
        <v>532.87</v>
      </c>
      <c r="N141" s="270">
        <f t="shared" si="101"/>
        <v>532.87</v>
      </c>
    </row>
    <row r="142" spans="1:14" x14ac:dyDescent="0.25">
      <c r="A142" s="36"/>
      <c r="C142" t="s">
        <v>258</v>
      </c>
      <c r="D142" s="18" t="s">
        <v>69</v>
      </c>
      <c r="E142" s="221"/>
      <c r="F142" s="221"/>
      <c r="G142" s="221"/>
      <c r="H142" s="221"/>
      <c r="I142" s="221">
        <f>I140-I141</f>
        <v>137.48000000000002</v>
      </c>
      <c r="J142" s="240">
        <f t="shared" ref="J142:N142" si="102">I142*(1+J143)</f>
        <v>146.4162</v>
      </c>
      <c r="K142" s="240">
        <f t="shared" si="102"/>
        <v>155.93325300000001</v>
      </c>
      <c r="L142" s="240">
        <f t="shared" si="102"/>
        <v>166.06891444499999</v>
      </c>
      <c r="M142" s="240">
        <f t="shared" si="102"/>
        <v>176.86339388392497</v>
      </c>
      <c r="N142" s="270">
        <f t="shared" si="102"/>
        <v>188.35951448638008</v>
      </c>
    </row>
    <row r="143" spans="1:14" x14ac:dyDescent="0.25">
      <c r="A143" s="36"/>
      <c r="C143" s="6" t="s">
        <v>259</v>
      </c>
      <c r="D143" s="30" t="s">
        <v>51</v>
      </c>
      <c r="E143" s="221"/>
      <c r="F143" s="221"/>
      <c r="G143" s="221"/>
      <c r="H143" s="221"/>
      <c r="I143" s="221"/>
      <c r="J143" s="244">
        <v>6.5000000000000002E-2</v>
      </c>
      <c r="K143" s="241">
        <f t="shared" ref="K143:N143" si="103">J143</f>
        <v>6.5000000000000002E-2</v>
      </c>
      <c r="L143" s="241">
        <f t="shared" si="103"/>
        <v>6.5000000000000002E-2</v>
      </c>
      <c r="M143" s="241">
        <f t="shared" si="103"/>
        <v>6.5000000000000002E-2</v>
      </c>
      <c r="N143" s="275">
        <f t="shared" si="103"/>
        <v>6.5000000000000002E-2</v>
      </c>
    </row>
    <row r="144" spans="1:14" x14ac:dyDescent="0.25">
      <c r="A144" s="36"/>
      <c r="B144" t="s">
        <v>135</v>
      </c>
      <c r="D144" s="18" t="s">
        <v>69</v>
      </c>
      <c r="E144" s="221">
        <f>BS!E25</f>
        <v>253.75</v>
      </c>
      <c r="F144" s="221">
        <f>BS!F25</f>
        <v>231.5</v>
      </c>
      <c r="G144" s="221">
        <f>BS!G25</f>
        <v>580.1</v>
      </c>
      <c r="H144" s="221">
        <f>BS!H25</f>
        <v>156.6</v>
      </c>
      <c r="I144" s="221">
        <f>BS!I25</f>
        <v>135.68</v>
      </c>
      <c r="J144" s="240">
        <f t="shared" ref="J144:N144" si="104">I144*(1+J145)</f>
        <v>145.17760000000001</v>
      </c>
      <c r="K144" s="240">
        <f t="shared" si="104"/>
        <v>155.34003200000004</v>
      </c>
      <c r="L144" s="240">
        <f t="shared" si="104"/>
        <v>166.21383424000004</v>
      </c>
      <c r="M144" s="240">
        <f t="shared" si="104"/>
        <v>177.84880263680006</v>
      </c>
      <c r="N144" s="270">
        <f t="shared" si="104"/>
        <v>190.29821882137608</v>
      </c>
    </row>
    <row r="145" spans="1:14" x14ac:dyDescent="0.25">
      <c r="A145" s="36"/>
      <c r="C145" s="6" t="s">
        <v>57</v>
      </c>
      <c r="D145" s="30" t="s">
        <v>51</v>
      </c>
      <c r="E145" s="221"/>
      <c r="F145" s="224">
        <f t="shared" ref="F145:I145" si="105">F144/E144 -1</f>
        <v>-8.7684729064039457E-2</v>
      </c>
      <c r="G145" s="224">
        <f t="shared" si="105"/>
        <v>1.505831533477322</v>
      </c>
      <c r="H145" s="224">
        <f t="shared" si="105"/>
        <v>-0.73004654369936217</v>
      </c>
      <c r="I145" s="224">
        <f t="shared" si="105"/>
        <v>-0.13358876117496798</v>
      </c>
      <c r="J145" s="134">
        <v>7.0000000000000007E-2</v>
      </c>
      <c r="K145" s="242">
        <f t="shared" ref="K145:N145" si="106">J145</f>
        <v>7.0000000000000007E-2</v>
      </c>
      <c r="L145" s="242">
        <f t="shared" si="106"/>
        <v>7.0000000000000007E-2</v>
      </c>
      <c r="M145" s="242">
        <f t="shared" si="106"/>
        <v>7.0000000000000007E-2</v>
      </c>
      <c r="N145" s="277">
        <f t="shared" si="106"/>
        <v>7.0000000000000007E-2</v>
      </c>
    </row>
    <row r="146" spans="1:14" x14ac:dyDescent="0.25">
      <c r="A146" s="36"/>
      <c r="B146" t="s">
        <v>260</v>
      </c>
      <c r="D146" s="18" t="s">
        <v>69</v>
      </c>
      <c r="E146" s="221">
        <f>BS!E26</f>
        <v>4057.38</v>
      </c>
      <c r="F146" s="221">
        <f>BS!F26</f>
        <v>2244.59</v>
      </c>
      <c r="G146" s="221">
        <f>BS!G26</f>
        <v>1318.96</v>
      </c>
      <c r="H146" s="221">
        <f>BS!H26</f>
        <v>1387.65</v>
      </c>
      <c r="I146" s="221">
        <f>BS!I26</f>
        <v>1849.02</v>
      </c>
      <c r="J146" s="240">
        <f t="shared" ref="J146:N146" si="107">I146*(1+J147)</f>
        <v>1941.471</v>
      </c>
      <c r="K146" s="240">
        <f t="shared" si="107"/>
        <v>2038.5445500000001</v>
      </c>
      <c r="L146" s="240">
        <f t="shared" si="107"/>
        <v>2140.4717775000004</v>
      </c>
      <c r="M146" s="240">
        <f t="shared" si="107"/>
        <v>2247.4953663750007</v>
      </c>
      <c r="N146" s="270">
        <f t="shared" si="107"/>
        <v>2359.870134693751</v>
      </c>
    </row>
    <row r="147" spans="1:14" x14ac:dyDescent="0.25">
      <c r="A147" s="36"/>
      <c r="C147" s="6" t="s">
        <v>57</v>
      </c>
      <c r="D147" s="30" t="s">
        <v>51</v>
      </c>
      <c r="E147" s="221"/>
      <c r="F147" s="121">
        <f t="shared" ref="F147:I147" si="108">F146/E146 -1</f>
        <v>-0.44678832152768533</v>
      </c>
      <c r="G147" s="121">
        <f t="shared" si="108"/>
        <v>-0.41238266231249365</v>
      </c>
      <c r="H147" s="121">
        <f t="shared" si="108"/>
        <v>5.2078910656881305E-2</v>
      </c>
      <c r="I147" s="121">
        <f t="shared" si="108"/>
        <v>0.33248297481353362</v>
      </c>
      <c r="J147" s="134">
        <v>0.05</v>
      </c>
      <c r="K147" s="242">
        <f t="shared" ref="K147:N147" si="109">J147</f>
        <v>0.05</v>
      </c>
      <c r="L147" s="242">
        <f t="shared" si="109"/>
        <v>0.05</v>
      </c>
      <c r="M147" s="242">
        <f t="shared" si="109"/>
        <v>0.05</v>
      </c>
      <c r="N147" s="277">
        <f t="shared" si="109"/>
        <v>0.05</v>
      </c>
    </row>
    <row r="148" spans="1:14" x14ac:dyDescent="0.25">
      <c r="A148" s="36"/>
      <c r="B148" t="s">
        <v>136</v>
      </c>
      <c r="D148" s="18" t="s">
        <v>69</v>
      </c>
      <c r="E148" s="221">
        <f>BS!E28</f>
        <v>395.34</v>
      </c>
      <c r="F148" s="221">
        <f>BS!F28</f>
        <v>466.94</v>
      </c>
      <c r="G148" s="221">
        <f>BS!G28</f>
        <v>841.38</v>
      </c>
      <c r="H148" s="221">
        <f>BS!H28</f>
        <v>1178.3800000000001</v>
      </c>
      <c r="I148" s="221">
        <f>BS!I28</f>
        <v>1660.06</v>
      </c>
      <c r="J148" s="240">
        <f>J149*'Revenue Schedule'!J27</f>
        <v>1480.6368504290604</v>
      </c>
      <c r="K148" s="240">
        <f>K149*'Revenue Schedule'!K27</f>
        <v>1819.4161647897304</v>
      </c>
      <c r="L148" s="240">
        <f>L149*'Revenue Schedule'!L27</f>
        <v>2305.1363185533764</v>
      </c>
      <c r="M148" s="240">
        <f>M149*'Revenue Schedule'!M27</f>
        <v>2381.00893381383</v>
      </c>
      <c r="N148" s="270">
        <f>N149*'Revenue Schedule'!N27</f>
        <v>2640.3983013884636</v>
      </c>
    </row>
    <row r="149" spans="1:14" x14ac:dyDescent="0.25">
      <c r="A149" s="36"/>
      <c r="C149" s="6" t="s">
        <v>172</v>
      </c>
      <c r="D149" s="30" t="s">
        <v>51</v>
      </c>
      <c r="E149" s="224">
        <f>E148/'Revenue Schedule'!E27</f>
        <v>1.674942380694143E-2</v>
      </c>
      <c r="F149" s="224">
        <f>F148/'Revenue Schedule'!F27</f>
        <v>1.5761129141414396E-2</v>
      </c>
      <c r="G149" s="224">
        <f>G148/'Revenue Schedule'!G27</f>
        <v>2.4605042252722073E-2</v>
      </c>
      <c r="H149" s="224">
        <f>H148/'Revenue Schedule'!H27</f>
        <v>3.197616834121083E-2</v>
      </c>
      <c r="I149" s="224">
        <f>I148/'Revenue Schedule'!I27</f>
        <v>4.1101459494737716E-2</v>
      </c>
      <c r="J149" s="241">
        <f t="shared" ref="J149:N149" si="110">AVERAGE(G149:I149)</f>
        <v>3.2560890029556873E-2</v>
      </c>
      <c r="K149" s="241">
        <f t="shared" si="110"/>
        <v>3.5212839288501802E-2</v>
      </c>
      <c r="L149" s="241">
        <f t="shared" si="110"/>
        <v>3.6291729604265466E-2</v>
      </c>
      <c r="M149" s="241">
        <f t="shared" si="110"/>
        <v>3.4688486307441375E-2</v>
      </c>
      <c r="N149" s="275">
        <f t="shared" si="110"/>
        <v>3.5397685066736212E-2</v>
      </c>
    </row>
    <row r="150" spans="1:14" x14ac:dyDescent="0.25">
      <c r="A150" s="36"/>
      <c r="B150" t="s">
        <v>275</v>
      </c>
      <c r="D150" s="18" t="s">
        <v>69</v>
      </c>
      <c r="E150" s="222">
        <v>4155.3999999999996</v>
      </c>
      <c r="F150" s="222">
        <v>3126.11</v>
      </c>
      <c r="G150" s="222">
        <v>4018.89</v>
      </c>
      <c r="H150" s="222">
        <v>3823.78</v>
      </c>
      <c r="I150" s="222">
        <v>6376.57</v>
      </c>
      <c r="J150" s="240">
        <f>J155*J151*'Revenue Schedule'!J19</f>
        <v>5909.9780806194667</v>
      </c>
      <c r="K150" s="240">
        <f>K155*K151*'Revenue Schedule'!K19</f>
        <v>6847.1580182711359</v>
      </c>
      <c r="L150" s="240">
        <f>L155*L151*'Revenue Schedule'!L19</f>
        <v>8899.0833990535939</v>
      </c>
      <c r="M150" s="240">
        <f>M155*M151*'Revenue Schedule'!M19</f>
        <v>9320.4782337163178</v>
      </c>
      <c r="N150" s="270">
        <f>N155*N151*'Revenue Schedule'!N19</f>
        <v>10216.347205147385</v>
      </c>
    </row>
    <row r="151" spans="1:14" x14ac:dyDescent="0.25">
      <c r="A151" s="36"/>
      <c r="C151" s="6" t="s">
        <v>276</v>
      </c>
      <c r="D151" s="30" t="s">
        <v>51</v>
      </c>
      <c r="E151" s="224">
        <f t="shared" ref="E151:I151" si="111">E150/E154</f>
        <v>0.33080180868679143</v>
      </c>
      <c r="F151" s="224">
        <f t="shared" si="111"/>
        <v>0.25172967471164037</v>
      </c>
      <c r="G151" s="224">
        <f t="shared" si="111"/>
        <v>0.31024676061556994</v>
      </c>
      <c r="H151" s="224">
        <f t="shared" si="111"/>
        <v>0.29104579287520921</v>
      </c>
      <c r="I151" s="224">
        <f t="shared" si="111"/>
        <v>0.40451639997360977</v>
      </c>
      <c r="J151" s="241">
        <f t="shared" ref="J151:N151" si="112">AVERAGE(G151:I151)</f>
        <v>0.33526965115479629</v>
      </c>
      <c r="K151" s="241">
        <f t="shared" si="112"/>
        <v>0.34361061466787174</v>
      </c>
      <c r="L151" s="241">
        <f t="shared" si="112"/>
        <v>0.36113222193209255</v>
      </c>
      <c r="M151" s="241">
        <f t="shared" si="112"/>
        <v>0.34667082925158682</v>
      </c>
      <c r="N151" s="275">
        <f t="shared" si="112"/>
        <v>0.35047122195051705</v>
      </c>
    </row>
    <row r="152" spans="1:14" x14ac:dyDescent="0.25">
      <c r="A152" s="36"/>
      <c r="B152" t="s">
        <v>277</v>
      </c>
      <c r="D152" s="18" t="s">
        <v>69</v>
      </c>
      <c r="E152" s="222">
        <v>8406.2000000000007</v>
      </c>
      <c r="F152" s="222">
        <v>9292.41</v>
      </c>
      <c r="G152" s="222">
        <v>8934.9599999999991</v>
      </c>
      <c r="H152" s="222">
        <v>9314.2900000000009</v>
      </c>
      <c r="I152" s="222">
        <v>9386.8700000000008</v>
      </c>
      <c r="J152" s="240">
        <f>J155*J153*'Revenue Schedule'!J19</f>
        <v>11717.558620848298</v>
      </c>
      <c r="K152" s="240">
        <f>K155*K153*'Revenue Schedule'!K19</f>
        <v>13079.927252041263</v>
      </c>
      <c r="L152" s="240">
        <f>L155*L153*'Revenue Schedule'!L19</f>
        <v>15743.091567895166</v>
      </c>
      <c r="M152" s="240">
        <f>M155*M153*'Revenue Schedule'!M19</f>
        <v>17565.193842696659</v>
      </c>
      <c r="N152" s="270">
        <f>N155*N153*'Revenue Schedule'!N19</f>
        <v>18933.969754656602</v>
      </c>
    </row>
    <row r="153" spans="1:14" x14ac:dyDescent="0.25">
      <c r="A153" s="36"/>
      <c r="C153" s="6" t="s">
        <v>276</v>
      </c>
      <c r="D153" s="30" t="s">
        <v>51</v>
      </c>
      <c r="E153" s="224">
        <f t="shared" ref="E153:I153" si="113">E152/E154</f>
        <v>0.66919819131320857</v>
      </c>
      <c r="F153" s="224">
        <f t="shared" si="113"/>
        <v>0.74827032528835957</v>
      </c>
      <c r="G153" s="224">
        <f t="shared" si="113"/>
        <v>0.68975323938443012</v>
      </c>
      <c r="H153" s="224">
        <f t="shared" si="113"/>
        <v>0.70895420712479074</v>
      </c>
      <c r="I153" s="224">
        <f t="shared" si="113"/>
        <v>0.59548360002639023</v>
      </c>
      <c r="J153" s="241">
        <f t="shared" ref="J153:N153" si="114">1-J151</f>
        <v>0.66473034884520366</v>
      </c>
      <c r="K153" s="241">
        <f t="shared" si="114"/>
        <v>0.65638938533212832</v>
      </c>
      <c r="L153" s="241">
        <f t="shared" si="114"/>
        <v>0.63886777806790751</v>
      </c>
      <c r="M153" s="241">
        <f t="shared" si="114"/>
        <v>0.65332917074841323</v>
      </c>
      <c r="N153" s="275">
        <f t="shared" si="114"/>
        <v>0.64952877804948295</v>
      </c>
    </row>
    <row r="154" spans="1:14" x14ac:dyDescent="0.25">
      <c r="A154" s="36"/>
      <c r="B154" t="s">
        <v>278</v>
      </c>
      <c r="D154" s="18" t="s">
        <v>69</v>
      </c>
      <c r="E154" s="221">
        <f t="shared" ref="E154:N154" si="115">E150+E152</f>
        <v>12561.6</v>
      </c>
      <c r="F154" s="221">
        <f t="shared" si="115"/>
        <v>12418.52</v>
      </c>
      <c r="G154" s="221">
        <f t="shared" si="115"/>
        <v>12953.849999999999</v>
      </c>
      <c r="H154" s="221">
        <f t="shared" si="115"/>
        <v>13138.070000000002</v>
      </c>
      <c r="I154" s="221">
        <f t="shared" si="115"/>
        <v>15763.44</v>
      </c>
      <c r="J154" s="240">
        <f t="shared" si="115"/>
        <v>17627.536701467765</v>
      </c>
      <c r="K154" s="240">
        <f t="shared" si="115"/>
        <v>19927.0852703124</v>
      </c>
      <c r="L154" s="240">
        <f t="shared" si="115"/>
        <v>24642.174966948762</v>
      </c>
      <c r="M154" s="240">
        <f t="shared" si="115"/>
        <v>26885.672076412979</v>
      </c>
      <c r="N154" s="270">
        <f t="shared" si="115"/>
        <v>29150.316959803989</v>
      </c>
    </row>
    <row r="155" spans="1:14" x14ac:dyDescent="0.25">
      <c r="A155" s="36"/>
      <c r="C155" s="6" t="s">
        <v>171</v>
      </c>
      <c r="D155" s="30" t="s">
        <v>51</v>
      </c>
      <c r="E155" s="121">
        <f>E154/'Revenue Schedule'!E19</f>
        <v>0.6799017732026168</v>
      </c>
      <c r="F155" s="121">
        <f>F154/'Revenue Schedule'!F19</f>
        <v>0.56034386291687877</v>
      </c>
      <c r="G155" s="121">
        <f>G154/'Revenue Schedule'!G19</f>
        <v>0.54432515337423304</v>
      </c>
      <c r="H155" s="121">
        <f>H154/'Revenue Schedule'!H19</f>
        <v>0.5195868321942797</v>
      </c>
      <c r="I155" s="121">
        <f>I154/'Revenue Schedule'!I19</f>
        <v>0.55938673932375815</v>
      </c>
      <c r="J155" s="242">
        <f t="shared" ref="J155:N155" si="116">AVERAGE(F155:I155)</f>
        <v>0.54591064695228741</v>
      </c>
      <c r="K155" s="242">
        <f t="shared" si="116"/>
        <v>0.54230234296113955</v>
      </c>
      <c r="L155" s="242">
        <f t="shared" si="116"/>
        <v>0.54179664035786623</v>
      </c>
      <c r="M155" s="242">
        <f t="shared" si="116"/>
        <v>0.54734909239876284</v>
      </c>
      <c r="N155" s="277">
        <f t="shared" si="116"/>
        <v>0.54433968066751404</v>
      </c>
    </row>
    <row r="156" spans="1:14" x14ac:dyDescent="0.25">
      <c r="A156" s="36"/>
      <c r="B156" t="s">
        <v>279</v>
      </c>
      <c r="D156" s="18" t="s">
        <v>69</v>
      </c>
      <c r="E156" s="222">
        <v>279.64999999999998</v>
      </c>
      <c r="F156" s="222">
        <v>368.5</v>
      </c>
      <c r="G156" s="222">
        <v>144.33000000000001</v>
      </c>
      <c r="H156" s="222">
        <v>86.85</v>
      </c>
      <c r="I156" s="222">
        <v>194.89</v>
      </c>
      <c r="J156" s="240">
        <f t="shared" ref="J156:N156" si="117">J157*J160</f>
        <v>344.59035499487857</v>
      </c>
      <c r="K156" s="240">
        <f t="shared" si="117"/>
        <v>220.66996024866427</v>
      </c>
      <c r="L156" s="240">
        <f t="shared" si="117"/>
        <v>114.40258648040192</v>
      </c>
      <c r="M156" s="240">
        <f t="shared" si="117"/>
        <v>75.628261059355083</v>
      </c>
      <c r="N156" s="270">
        <f t="shared" si="117"/>
        <v>49.225261441064156</v>
      </c>
    </row>
    <row r="157" spans="1:14" x14ac:dyDescent="0.25">
      <c r="A157" s="36"/>
      <c r="C157" s="6" t="s">
        <v>280</v>
      </c>
      <c r="D157" s="30" t="s">
        <v>51</v>
      </c>
      <c r="E157" s="121">
        <f t="shared" ref="E157:I157" si="118">E156/E160</f>
        <v>0.10118974388664143</v>
      </c>
      <c r="F157" s="121">
        <f t="shared" si="118"/>
        <v>9.497789863010167E-2</v>
      </c>
      <c r="G157" s="121">
        <f t="shared" si="118"/>
        <v>5.2226492107948518E-2</v>
      </c>
      <c r="H157" s="121">
        <f t="shared" si="118"/>
        <v>3.4551899459343331E-2</v>
      </c>
      <c r="I157" s="121">
        <f t="shared" si="118"/>
        <v>3.6623683152241307E-2</v>
      </c>
      <c r="J157" s="242">
        <f t="shared" ref="J157:N157" si="119">1-J159</f>
        <v>6.3913943447255206E-2</v>
      </c>
      <c r="K157" s="242">
        <f t="shared" si="119"/>
        <v>6.3913943447255206E-2</v>
      </c>
      <c r="L157" s="242">
        <f t="shared" si="119"/>
        <v>6.3913943447255206E-2</v>
      </c>
      <c r="M157" s="242">
        <f t="shared" si="119"/>
        <v>6.3913943447255206E-2</v>
      </c>
      <c r="N157" s="277">
        <f t="shared" si="119"/>
        <v>6.3913943447255206E-2</v>
      </c>
    </row>
    <row r="158" spans="1:14" x14ac:dyDescent="0.25">
      <c r="A158" s="36"/>
      <c r="B158" t="s">
        <v>281</v>
      </c>
      <c r="D158" s="18" t="s">
        <v>69</v>
      </c>
      <c r="E158" s="222">
        <f>60.47+2423.5</f>
        <v>2483.9699999999998</v>
      </c>
      <c r="F158" s="222">
        <f>410.24+3101.11</f>
        <v>3511.3500000000004</v>
      </c>
      <c r="G158" s="222">
        <f>130.47+2488.74</f>
        <v>2619.2099999999996</v>
      </c>
      <c r="H158" s="222">
        <f>75.32+2351.44</f>
        <v>2426.7600000000002</v>
      </c>
      <c r="I158" s="222">
        <f>152.56+4973.97</f>
        <v>5126.5300000000007</v>
      </c>
      <c r="J158" s="240">
        <f>J159*J160</f>
        <v>5046.8834988950903</v>
      </c>
      <c r="K158" s="240">
        <f t="shared" ref="K158:N158" si="120">K159*K160</f>
        <v>3231.9406650176597</v>
      </c>
      <c r="L158" s="240">
        <f t="shared" si="120"/>
        <v>1675.5446505385801</v>
      </c>
      <c r="M158" s="240">
        <f t="shared" si="120"/>
        <v>1107.6543996603216</v>
      </c>
      <c r="N158" s="270">
        <f t="shared" si="120"/>
        <v>720.95505894062467</v>
      </c>
    </row>
    <row r="159" spans="1:14" x14ac:dyDescent="0.25">
      <c r="A159" s="36"/>
      <c r="C159" s="6" t="s">
        <v>280</v>
      </c>
      <c r="D159" s="30" t="s">
        <v>51</v>
      </c>
      <c r="E159" s="121">
        <f t="shared" ref="E159:I159" si="121">E158/E160</f>
        <v>0.89881025611335852</v>
      </c>
      <c r="F159" s="121">
        <f t="shared" si="121"/>
        <v>0.90502210136989836</v>
      </c>
      <c r="G159" s="121">
        <f t="shared" si="121"/>
        <v>0.9477735078920515</v>
      </c>
      <c r="H159" s="121">
        <f t="shared" si="121"/>
        <v>0.96544810054065666</v>
      </c>
      <c r="I159" s="121">
        <f t="shared" si="121"/>
        <v>0.9633763168477586</v>
      </c>
      <c r="J159" s="242">
        <f>AVERAGE(E159:I159)</f>
        <v>0.93608605655274479</v>
      </c>
      <c r="K159" s="242">
        <f t="shared" ref="K159:N159" si="122">J159</f>
        <v>0.93608605655274479</v>
      </c>
      <c r="L159" s="242">
        <f t="shared" si="122"/>
        <v>0.93608605655274479</v>
      </c>
      <c r="M159" s="242">
        <f t="shared" si="122"/>
        <v>0.93608605655274479</v>
      </c>
      <c r="N159" s="277">
        <f t="shared" si="122"/>
        <v>0.93608605655274479</v>
      </c>
    </row>
    <row r="160" spans="1:14" x14ac:dyDescent="0.25">
      <c r="A160" s="36"/>
      <c r="B160" t="s">
        <v>282</v>
      </c>
      <c r="D160" s="18" t="s">
        <v>69</v>
      </c>
      <c r="E160" s="221">
        <f t="shared" ref="E160:I160" si="123">E156+E158</f>
        <v>2763.62</v>
      </c>
      <c r="F160" s="221">
        <f t="shared" si="123"/>
        <v>3879.8500000000004</v>
      </c>
      <c r="G160" s="221">
        <f t="shared" si="123"/>
        <v>2763.5399999999995</v>
      </c>
      <c r="H160" s="221">
        <f t="shared" si="123"/>
        <v>2513.61</v>
      </c>
      <c r="I160" s="221">
        <f t="shared" si="123"/>
        <v>5321.420000000001</v>
      </c>
      <c r="J160" s="240">
        <f>J161*J191</f>
        <v>5391.4738538899692</v>
      </c>
      <c r="K160" s="240">
        <f>K161*K191</f>
        <v>3452.610625266324</v>
      </c>
      <c r="L160" s="240">
        <f>L161*L191</f>
        <v>1789.9472370189819</v>
      </c>
      <c r="M160" s="240">
        <f>M161*M191</f>
        <v>1183.2826607196766</v>
      </c>
      <c r="N160" s="270">
        <f>N161*N191</f>
        <v>770.18032038168883</v>
      </c>
    </row>
    <row r="161" spans="1:14" x14ac:dyDescent="0.25">
      <c r="A161" s="36"/>
      <c r="C161" s="6" t="s">
        <v>283</v>
      </c>
      <c r="D161" s="30" t="s">
        <v>51</v>
      </c>
      <c r="E161" s="121">
        <f>E160/E191</f>
        <v>0.35995462176774523</v>
      </c>
      <c r="F161" s="121">
        <f>F160/F191</f>
        <v>0.2769412512089881</v>
      </c>
      <c r="G161" s="121">
        <f>G160/G191</f>
        <v>0.25305845121495596</v>
      </c>
      <c r="H161" s="121">
        <f>H160/H191</f>
        <v>0.15426788103450392</v>
      </c>
      <c r="I161" s="121">
        <f>I160/I191</f>
        <v>0.30391216769190621</v>
      </c>
      <c r="J161" s="242">
        <f t="shared" ref="J161:N161" si="124">I161</f>
        <v>0.30391216769190621</v>
      </c>
      <c r="K161" s="242">
        <f t="shared" si="124"/>
        <v>0.30391216769190621</v>
      </c>
      <c r="L161" s="242">
        <f t="shared" si="124"/>
        <v>0.30391216769190621</v>
      </c>
      <c r="M161" s="242">
        <f t="shared" si="124"/>
        <v>0.30391216769190621</v>
      </c>
      <c r="N161" s="277">
        <f t="shared" si="124"/>
        <v>0.30391216769190621</v>
      </c>
    </row>
    <row r="162" spans="1:14" x14ac:dyDescent="0.25">
      <c r="A162" s="36"/>
      <c r="B162" t="s">
        <v>285</v>
      </c>
      <c r="D162" s="18" t="s">
        <v>69</v>
      </c>
      <c r="E162" s="222">
        <v>666.38</v>
      </c>
      <c r="F162" s="222">
        <v>541.91999999999996</v>
      </c>
      <c r="G162" s="222">
        <v>600.86</v>
      </c>
      <c r="H162" s="222">
        <v>605.86</v>
      </c>
      <c r="I162" s="222">
        <v>1053.08</v>
      </c>
      <c r="J162" s="240">
        <f>J163*'Revenue Schedule'!J19</f>
        <v>931.88248727612154</v>
      </c>
      <c r="K162" s="240">
        <f>K163*'Revenue Schedule'!K19</f>
        <v>1104.6907476572846</v>
      </c>
      <c r="L162" s="240">
        <f>L163*'Revenue Schedule'!L19</f>
        <v>1459.8771374365906</v>
      </c>
      <c r="M162" s="240">
        <f>M163*'Revenue Schedule'!M19</f>
        <v>1490.306676065589</v>
      </c>
      <c r="N162" s="270">
        <f>N163*'Revenue Schedule'!N19</f>
        <v>1651.2015628171262</v>
      </c>
    </row>
    <row r="163" spans="1:14" x14ac:dyDescent="0.25">
      <c r="A163" s="36"/>
      <c r="C163" s="6" t="s">
        <v>171</v>
      </c>
      <c r="D163" s="30" t="s">
        <v>51</v>
      </c>
      <c r="E163" s="224">
        <f>E162/'Revenue Schedule'!E19</f>
        <v>3.6068091933094494E-2</v>
      </c>
      <c r="F163" s="224">
        <f>F162/'Revenue Schedule'!F19</f>
        <v>2.4452313656692981E-2</v>
      </c>
      <c r="G163" s="224">
        <f>G162/'Revenue Schedule'!G19</f>
        <v>2.5248340196655183E-2</v>
      </c>
      <c r="H163" s="224">
        <f>H162/'Revenue Schedule'!H19</f>
        <v>2.3960663792568185E-2</v>
      </c>
      <c r="I163" s="224">
        <f>I162/'Revenue Schedule'!I19</f>
        <v>3.7369951447594127E-2</v>
      </c>
      <c r="J163" s="241">
        <f t="shared" ref="J163:N163" si="125">AVERAGE(G163:I163)</f>
        <v>2.8859651812272499E-2</v>
      </c>
      <c r="K163" s="241">
        <f t="shared" si="125"/>
        <v>3.0063422350811605E-2</v>
      </c>
      <c r="L163" s="241">
        <f t="shared" si="125"/>
        <v>3.2097675203559412E-2</v>
      </c>
      <c r="M163" s="241">
        <f t="shared" si="125"/>
        <v>3.0340249788881172E-2</v>
      </c>
      <c r="N163" s="275">
        <f t="shared" si="125"/>
        <v>3.0833782447750729E-2</v>
      </c>
    </row>
    <row r="164" spans="1:14" x14ac:dyDescent="0.25">
      <c r="A164" s="36"/>
      <c r="B164" t="s">
        <v>152</v>
      </c>
      <c r="D164" s="18" t="s">
        <v>69</v>
      </c>
      <c r="E164" s="221">
        <f>(BS!E46-'Data &amp; Assumptions'!E162)</f>
        <v>18.879999999999995</v>
      </c>
      <c r="F164" s="221">
        <f>(BS!F46-'Data &amp; Assumptions'!F162)</f>
        <v>18.889999999999986</v>
      </c>
      <c r="G164" s="221">
        <f>(BS!G46-'Data &amp; Assumptions'!G162)</f>
        <v>0</v>
      </c>
      <c r="H164" s="221">
        <f>(BS!H46-'Data &amp; Assumptions'!H162)</f>
        <v>62.509999999999991</v>
      </c>
      <c r="I164" s="221">
        <f>(BS!I46-'Data &amp; Assumptions'!I162)</f>
        <v>238.17000000000007</v>
      </c>
      <c r="J164" s="240">
        <f>J165*'Revenue Schedule'!J19</f>
        <v>272.90927053262936</v>
      </c>
      <c r="K164" s="240">
        <f>K165*'Revenue Schedule'!K19</f>
        <v>310.56357968852802</v>
      </c>
      <c r="L164" s="240">
        <f>L165*'Revenue Schedule'!L19</f>
        <v>384.40670541130589</v>
      </c>
      <c r="M164" s="240">
        <f>M165*'Revenue Schedule'!M19</f>
        <v>415.14969239460686</v>
      </c>
      <c r="N164" s="270">
        <f>N165*'Revenue Schedule'!N19</f>
        <v>452.60725657275327</v>
      </c>
    </row>
    <row r="165" spans="1:14" x14ac:dyDescent="0.25">
      <c r="A165" s="36"/>
      <c r="C165" s="6" t="s">
        <v>171</v>
      </c>
      <c r="D165" s="30" t="s">
        <v>51</v>
      </c>
      <c r="E165" s="224">
        <f>E164/'Revenue Schedule'!E19</f>
        <v>1.02188777528861E-3</v>
      </c>
      <c r="F165" s="224">
        <f>F164/'Revenue Schedule'!F19</f>
        <v>8.5234758815863978E-4</v>
      </c>
      <c r="G165" s="224">
        <f>G164/'Revenue Schedule'!G19</f>
        <v>0</v>
      </c>
      <c r="H165" s="224">
        <f>H164/'Revenue Schedule'!H19</f>
        <v>2.4721570885574834E-3</v>
      </c>
      <c r="I165" s="224">
        <f>I164/'Revenue Schedule'!I19</f>
        <v>8.4517808108344073E-3</v>
      </c>
      <c r="J165" s="241">
        <f t="shared" ref="J165:N165" si="126">I165</f>
        <v>8.4517808108344073E-3</v>
      </c>
      <c r="K165" s="241">
        <f t="shared" si="126"/>
        <v>8.4517808108344073E-3</v>
      </c>
      <c r="L165" s="241">
        <f t="shared" si="126"/>
        <v>8.4517808108344073E-3</v>
      </c>
      <c r="M165" s="241">
        <f t="shared" si="126"/>
        <v>8.4517808108344073E-3</v>
      </c>
      <c r="N165" s="275">
        <f t="shared" si="126"/>
        <v>8.4517808108344073E-3</v>
      </c>
    </row>
    <row r="166" spans="1:14" x14ac:dyDescent="0.25">
      <c r="A166" s="36"/>
      <c r="B166" t="s">
        <v>286</v>
      </c>
      <c r="C166" s="6"/>
      <c r="D166" s="18" t="s">
        <v>69</v>
      </c>
      <c r="E166" s="221">
        <f t="shared" ref="E166:N166" si="127">E162+E165</f>
        <v>666.38102188777532</v>
      </c>
      <c r="F166" s="221">
        <f t="shared" si="127"/>
        <v>541.92085234758815</v>
      </c>
      <c r="G166" s="221">
        <f t="shared" si="127"/>
        <v>600.86</v>
      </c>
      <c r="H166" s="221">
        <f t="shared" si="127"/>
        <v>605.86247215708852</v>
      </c>
      <c r="I166" s="221">
        <f t="shared" si="127"/>
        <v>1053.0884517808108</v>
      </c>
      <c r="J166" s="240">
        <f t="shared" si="127"/>
        <v>931.89093905693233</v>
      </c>
      <c r="K166" s="240">
        <f t="shared" si="127"/>
        <v>1104.6991994380955</v>
      </c>
      <c r="L166" s="240">
        <f t="shared" si="127"/>
        <v>1459.8855892174015</v>
      </c>
      <c r="M166" s="240">
        <f t="shared" si="127"/>
        <v>1490.3151278463999</v>
      </c>
      <c r="N166" s="270">
        <f t="shared" si="127"/>
        <v>1651.2100145979371</v>
      </c>
    </row>
    <row r="167" spans="1:14" x14ac:dyDescent="0.25">
      <c r="A167" s="36"/>
      <c r="B167" t="s">
        <v>156</v>
      </c>
      <c r="D167" s="18" t="s">
        <v>69</v>
      </c>
      <c r="E167" s="221">
        <f>BS!E57</f>
        <v>1872.13</v>
      </c>
      <c r="F167" s="221">
        <f>BS!F57</f>
        <v>1355.16</v>
      </c>
      <c r="G167" s="221">
        <f>BS!G57</f>
        <v>1849.67</v>
      </c>
      <c r="H167" s="221">
        <f>BS!H57</f>
        <v>1783.66</v>
      </c>
      <c r="I167" s="221">
        <f>BS!I57</f>
        <v>1862.71</v>
      </c>
      <c r="J167" s="240">
        <f>J168*'Revenue Schedule'!J19</f>
        <v>1937.4090027236723</v>
      </c>
      <c r="K167" s="240">
        <f>K168*'Revenue Schedule'!K19</f>
        <v>2204.7205433232293</v>
      </c>
      <c r="L167" s="240">
        <f>L168*'Revenue Schedule'!L19</f>
        <v>2728.9399525259701</v>
      </c>
      <c r="M167" s="240">
        <f>M168*'Revenue Schedule'!M19</f>
        <v>2947.1873562723472</v>
      </c>
      <c r="N167" s="270">
        <f>N168*'Revenue Schedule'!N19</f>
        <v>3213.1021854652377</v>
      </c>
    </row>
    <row r="168" spans="1:14" x14ac:dyDescent="0.25">
      <c r="A168" s="36"/>
      <c r="C168" s="6" t="s">
        <v>171</v>
      </c>
      <c r="D168" s="30" t="s">
        <v>51</v>
      </c>
      <c r="E168" s="224">
        <f>E167/'Revenue Schedule'!E19</f>
        <v>0.10132980724317087</v>
      </c>
      <c r="F168" s="224">
        <f>F167/'Revenue Schedule'!F19</f>
        <v>6.1147027928484025E-2</v>
      </c>
      <c r="G168" s="224">
        <f>G167/'Revenue Schedule'!G19</f>
        <v>7.7723758299016732E-2</v>
      </c>
      <c r="H168" s="224">
        <f>H167/'Revenue Schedule'!H19</f>
        <v>7.0540516918516108E-2</v>
      </c>
      <c r="I168" s="224">
        <f>I167/'Revenue Schedule'!I19</f>
        <v>6.6100754226600125E-2</v>
      </c>
      <c r="J168" s="241">
        <v>0.06</v>
      </c>
      <c r="K168" s="241">
        <f t="shared" ref="K168:N168" si="128">J168</f>
        <v>0.06</v>
      </c>
      <c r="L168" s="241">
        <f t="shared" si="128"/>
        <v>0.06</v>
      </c>
      <c r="M168" s="241">
        <f t="shared" si="128"/>
        <v>0.06</v>
      </c>
      <c r="N168" s="275">
        <f t="shared" si="128"/>
        <v>0.06</v>
      </c>
    </row>
    <row r="169" spans="1:14" x14ac:dyDescent="0.25">
      <c r="A169" s="36"/>
      <c r="B169" t="s">
        <v>287</v>
      </c>
      <c r="D169" s="18" t="s">
        <v>69</v>
      </c>
      <c r="E169" s="221">
        <f>(BS!E55-('Data &amp; Assumptions'!E158+'Data &amp; Assumptions'!E152))</f>
        <v>1627.7299999999996</v>
      </c>
      <c r="F169" s="221">
        <f>(BS!F55-('Data &amp; Assumptions'!F158+'Data &amp; Assumptions'!F152))</f>
        <v>1359.5</v>
      </c>
      <c r="G169" s="221">
        <f>(BS!G55-('Data &amp; Assumptions'!G158+'Data &amp; Assumptions'!G152))</f>
        <v>1416.7300000000014</v>
      </c>
      <c r="H169" s="221">
        <f>(BS!H55-('Data &amp; Assumptions'!H158+'Data &amp; Assumptions'!H152))</f>
        <v>986.24999999999818</v>
      </c>
      <c r="I169" s="221">
        <f>(BS!I55-('Data &amp; Assumptions'!I158+'Data &amp; Assumptions'!I152))</f>
        <v>1323.659999999998</v>
      </c>
      <c r="J169" s="240">
        <f>J170*'Revenue Schedule'!J27</f>
        <v>1530.3967547027814</v>
      </c>
      <c r="K169" s="240">
        <f>K170*'Revenue Schedule'!K27</f>
        <v>1605.0196604657219</v>
      </c>
      <c r="L169" s="240">
        <f>L170*'Revenue Schedule'!L27</f>
        <v>2064.1095479614241</v>
      </c>
      <c r="M169" s="240">
        <f>M170*'Revenue Schedule'!M27</f>
        <v>2224.2854771826233</v>
      </c>
      <c r="N169" s="270">
        <f>N170*'Revenue Schedule'!N27</f>
        <v>2386.1033810802287</v>
      </c>
    </row>
    <row r="170" spans="1:14" x14ac:dyDescent="0.25">
      <c r="A170" s="36"/>
      <c r="C170" s="6" t="s">
        <v>172</v>
      </c>
      <c r="D170" s="30" t="s">
        <v>51</v>
      </c>
      <c r="E170" s="224">
        <f>E169/'Revenue Schedule'!E27</f>
        <v>6.8962259354663755E-2</v>
      </c>
      <c r="F170" s="224">
        <f>F169/'Revenue Schedule'!F27</f>
        <v>4.5888668924814482E-2</v>
      </c>
      <c r="G170" s="224">
        <f>G169/'Revenue Schedule'!G27</f>
        <v>4.1430389967314386E-2</v>
      </c>
      <c r="H170" s="224">
        <f>H169/'Revenue Schedule'!H27</f>
        <v>2.6762585945551622E-2</v>
      </c>
      <c r="I170" s="224">
        <f>I169/'Revenue Schedule'!I27</f>
        <v>3.2772525014038316E-2</v>
      </c>
      <c r="J170" s="241">
        <f t="shared" ref="J170:N170" si="129">AVERAGE(G170:I170)</f>
        <v>3.3655166975634775E-2</v>
      </c>
      <c r="K170" s="241">
        <f t="shared" si="129"/>
        <v>3.1063425978408239E-2</v>
      </c>
      <c r="L170" s="241">
        <f t="shared" si="129"/>
        <v>3.2497039322693773E-2</v>
      </c>
      <c r="M170" s="241">
        <f t="shared" si="129"/>
        <v>3.2405210758912263E-2</v>
      </c>
      <c r="N170" s="275">
        <f t="shared" si="129"/>
        <v>3.1988558686671421E-2</v>
      </c>
    </row>
    <row r="171" spans="1:14" x14ac:dyDescent="0.25">
      <c r="A171" s="36"/>
      <c r="B171" t="s">
        <v>157</v>
      </c>
      <c r="D171" s="18" t="s">
        <v>69</v>
      </c>
      <c r="E171" s="221">
        <f>BS!E58</f>
        <v>99.77</v>
      </c>
      <c r="F171" s="221">
        <f>BS!F58</f>
        <v>80.12</v>
      </c>
      <c r="G171" s="221">
        <f>BS!G58</f>
        <v>111.83</v>
      </c>
      <c r="H171" s="221">
        <f>BS!H58</f>
        <v>126.88</v>
      </c>
      <c r="I171" s="221">
        <f>BS!I58</f>
        <v>74.81</v>
      </c>
      <c r="J171" s="240">
        <f>J172*J194</f>
        <v>130.46302523700513</v>
      </c>
      <c r="K171" s="240">
        <f>K172*K194</f>
        <v>141.62867230945835</v>
      </c>
      <c r="L171" s="240">
        <f>L172*L194</f>
        <v>158.10251358191024</v>
      </c>
      <c r="M171" s="240">
        <f>M172*M194</f>
        <v>185.30823984884285</v>
      </c>
      <c r="N171" s="270">
        <f>N172*N194</f>
        <v>197.22036838084867</v>
      </c>
    </row>
    <row r="172" spans="1:14" x14ac:dyDescent="0.25">
      <c r="A172" s="125"/>
      <c r="B172" s="45"/>
      <c r="C172" s="45" t="s">
        <v>351</v>
      </c>
      <c r="D172" s="271" t="s">
        <v>51</v>
      </c>
      <c r="E172" s="282">
        <f>E171/E194</f>
        <v>6.0501133979357934E-2</v>
      </c>
      <c r="F172" s="282">
        <f>F171/F194</f>
        <v>4.799616605762895E-2</v>
      </c>
      <c r="G172" s="282">
        <f>G171/G194</f>
        <v>7.3203461503214065E-2</v>
      </c>
      <c r="H172" s="282">
        <f>H171/H194</f>
        <v>8.8867721013629927E-2</v>
      </c>
      <c r="I172" s="282">
        <f>I171/I194</f>
        <v>4.4624056786662293E-2</v>
      </c>
      <c r="J172" s="283">
        <f>AVERAGE(G172:I172)</f>
        <v>6.8898413101168759E-2</v>
      </c>
      <c r="K172" s="283">
        <f t="shared" ref="K172:N172" si="130">AVERAGE(H172:J172)</f>
        <v>6.7463396967153658E-2</v>
      </c>
      <c r="L172" s="283">
        <f t="shared" si="130"/>
        <v>6.0328622284994894E-2</v>
      </c>
      <c r="M172" s="283">
        <f t="shared" si="130"/>
        <v>6.5563477451105773E-2</v>
      </c>
      <c r="N172" s="284">
        <f t="shared" si="130"/>
        <v>6.445183223441811E-2</v>
      </c>
    </row>
    <row r="173" spans="1:14" x14ac:dyDescent="0.25">
      <c r="E173" s="221"/>
      <c r="F173" s="257"/>
      <c r="J173" s="258"/>
      <c r="K173" s="258"/>
      <c r="L173" s="258"/>
      <c r="M173" s="258"/>
      <c r="N173" s="258"/>
    </row>
    <row r="174" spans="1:14" x14ac:dyDescent="0.25">
      <c r="A174" s="118" t="s">
        <v>181</v>
      </c>
      <c r="B174" s="3"/>
      <c r="C174" s="3"/>
      <c r="D174" s="24"/>
      <c r="E174" s="231"/>
      <c r="F174" s="285"/>
      <c r="G174" s="285"/>
      <c r="H174" s="285"/>
      <c r="I174" s="285"/>
      <c r="J174" s="286"/>
      <c r="K174" s="286"/>
      <c r="L174" s="286"/>
      <c r="M174" s="286"/>
      <c r="N174" s="287"/>
    </row>
    <row r="175" spans="1:14" x14ac:dyDescent="0.25">
      <c r="A175" s="36"/>
      <c r="B175" t="s">
        <v>182</v>
      </c>
      <c r="D175" s="18" t="s">
        <v>69</v>
      </c>
      <c r="E175" s="221"/>
      <c r="F175" s="221">
        <f>'Debt Schedule'!F7</f>
        <v>14790.609999999986</v>
      </c>
      <c r="G175" s="221">
        <f>'Debt Schedule'!G7</f>
        <v>27041.440000000002</v>
      </c>
      <c r="H175" s="221">
        <f>'Debt Schedule'!H7</f>
        <v>20024.570000000007</v>
      </c>
      <c r="I175" s="221">
        <f>'Debt Schedule'!I7</f>
        <v>29993.510000000009</v>
      </c>
      <c r="J175" s="240">
        <f>J176*('Asset Schedule'!J5+'Asset Schedule'!J17+'Asset Schedule'!J30)</f>
        <v>21680.822823060531</v>
      </c>
      <c r="K175" s="240">
        <f>K176*('Asset Schedule'!K5+'Asset Schedule'!K17+'Asset Schedule'!K30)</f>
        <v>16631.038738314499</v>
      </c>
      <c r="L175" s="240">
        <f>L176*('Asset Schedule'!L5+'Asset Schedule'!L17+'Asset Schedule'!L30)</f>
        <v>12797.202688510408</v>
      </c>
      <c r="M175" s="240">
        <f>M176*('Asset Schedule'!M5+'Asset Schedule'!M17+'Asset Schedule'!M30)</f>
        <v>9555.2403698968501</v>
      </c>
      <c r="N175" s="270">
        <f>N176*('Asset Schedule'!N5+'Asset Schedule'!N17+'Asset Schedule'!N30)</f>
        <v>7325.2005955777377</v>
      </c>
    </row>
    <row r="176" spans="1:14" x14ac:dyDescent="0.25">
      <c r="A176" s="36"/>
      <c r="C176" s="6" t="s">
        <v>412</v>
      </c>
      <c r="D176" s="30" t="s">
        <v>51</v>
      </c>
      <c r="E176" s="172"/>
      <c r="F176" s="224"/>
      <c r="G176" s="298">
        <f>G175/('Asset Schedule'!G5+'Asset Schedule'!G17+'Asset Schedule'!G30)</f>
        <v>1.7405361776024748</v>
      </c>
      <c r="H176" s="298">
        <f>H175/('Asset Schedule'!H5+'Asset Schedule'!H17+'Asset Schedule'!H30)</f>
        <v>0.56721139013254784</v>
      </c>
      <c r="I176" s="298">
        <f>I175/('Asset Schedule'!I5+'Asset Schedule'!I17+'Asset Schedule'!I30)</f>
        <v>0.64166656326468463</v>
      </c>
      <c r="J176" s="241">
        <f t="shared" ref="J176:N176" si="131">AVERAGE(H176:I176)</f>
        <v>0.60443897669861624</v>
      </c>
      <c r="K176" s="241">
        <f t="shared" si="131"/>
        <v>0.62305276998165038</v>
      </c>
      <c r="L176" s="241">
        <f t="shared" si="131"/>
        <v>0.61374587334013331</v>
      </c>
      <c r="M176" s="241">
        <f t="shared" si="131"/>
        <v>0.61839932166089184</v>
      </c>
      <c r="N176" s="275">
        <f t="shared" si="131"/>
        <v>0.61607259750051258</v>
      </c>
    </row>
    <row r="177" spans="1:14" x14ac:dyDescent="0.25">
      <c r="A177" s="36"/>
      <c r="B177" t="s">
        <v>184</v>
      </c>
      <c r="D177" s="18" t="s">
        <v>69</v>
      </c>
      <c r="E177" s="221"/>
      <c r="F177" s="221">
        <f>'Debt Schedule'!F8</f>
        <v>121013.51999999999</v>
      </c>
      <c r="G177" s="221">
        <f>'Debt Schedule'!G8</f>
        <v>148054.96</v>
      </c>
      <c r="H177" s="221">
        <f>'Debt Schedule'!H8</f>
        <v>168079.53</v>
      </c>
      <c r="I177" s="221">
        <f>'Debt Schedule'!I8</f>
        <v>198073.04</v>
      </c>
      <c r="J177" s="240">
        <f>'Debt Schedule'!J8</f>
        <v>219753.86282306054</v>
      </c>
      <c r="K177" s="240">
        <f>'Debt Schedule'!K8</f>
        <v>236384.90156137504</v>
      </c>
      <c r="L177" s="240">
        <f>'Debt Schedule'!L8</f>
        <v>249182.10424988545</v>
      </c>
      <c r="M177" s="240">
        <f>'Debt Schedule'!M8</f>
        <v>258737.34461978229</v>
      </c>
      <c r="N177" s="270">
        <f>'Debt Schedule'!N8</f>
        <v>266062.54521536001</v>
      </c>
    </row>
    <row r="178" spans="1:14" x14ac:dyDescent="0.25">
      <c r="A178" s="36"/>
      <c r="C178" t="s">
        <v>196</v>
      </c>
      <c r="D178" s="18" t="s">
        <v>69</v>
      </c>
      <c r="E178" s="221"/>
      <c r="F178" s="221">
        <f>BS!F24</f>
        <v>5884.49</v>
      </c>
      <c r="G178" s="221">
        <f>BS!G24</f>
        <v>8173.48</v>
      </c>
      <c r="H178" s="221">
        <f>BS!H24</f>
        <v>10113.73</v>
      </c>
      <c r="I178" s="221">
        <f>BS!I24</f>
        <v>6630.18</v>
      </c>
      <c r="J178" s="240">
        <f ca="1">BS!J24</f>
        <v>9421.2136979105053</v>
      </c>
      <c r="K178" s="240">
        <f ca="1">BS!K24</f>
        <v>12000.000000000007</v>
      </c>
      <c r="L178" s="240">
        <f ca="1">BS!L24</f>
        <v>12000.000000000007</v>
      </c>
      <c r="M178" s="240">
        <f ca="1">BS!M24</f>
        <v>12000.000000000007</v>
      </c>
      <c r="N178" s="270">
        <f ca="1">BS!N24</f>
        <v>12000.000000000007</v>
      </c>
    </row>
    <row r="179" spans="1:14" x14ac:dyDescent="0.25">
      <c r="A179" s="36"/>
      <c r="C179" t="s">
        <v>195</v>
      </c>
      <c r="D179" s="18" t="s">
        <v>69</v>
      </c>
      <c r="E179" s="221"/>
      <c r="F179" s="221">
        <f>'Equity Schedule'!F5</f>
        <v>20626</v>
      </c>
      <c r="G179" s="221">
        <f>'Equity Schedule'!G5</f>
        <v>20579</v>
      </c>
      <c r="H179" s="221">
        <f>'Equity Schedule'!H5</f>
        <v>20219</v>
      </c>
      <c r="I179" s="221">
        <f>'Equity Schedule'!I5</f>
        <v>21811</v>
      </c>
      <c r="J179" s="240">
        <f>'Equity Schedule'!J5</f>
        <v>23769.547563197364</v>
      </c>
      <c r="K179" s="240">
        <f>'Equity Schedule'!K5</f>
        <v>24489.895632748659</v>
      </c>
      <c r="L179" s="240">
        <f>'Equity Schedule'!L5</f>
        <v>35610.105239607634</v>
      </c>
      <c r="M179" s="240">
        <f>'Equity Schedule'!M5</f>
        <v>35076.696444224086</v>
      </c>
      <c r="N179" s="270">
        <f>'Equity Schedule'!N5</f>
        <v>39295.424823495137</v>
      </c>
    </row>
    <row r="180" spans="1:14" x14ac:dyDescent="0.25">
      <c r="A180" s="36"/>
      <c r="B180" s="4" t="s">
        <v>187</v>
      </c>
      <c r="C180" s="3"/>
      <c r="D180" s="24"/>
      <c r="E180" s="231"/>
      <c r="F180" s="231">
        <f t="shared" ref="F180:N180" si="132">F177-F178-F179</f>
        <v>94503.029999999984</v>
      </c>
      <c r="G180" s="231">
        <f t="shared" si="132"/>
        <v>119302.47999999998</v>
      </c>
      <c r="H180" s="231">
        <f t="shared" si="132"/>
        <v>137746.79999999999</v>
      </c>
      <c r="I180" s="231">
        <f t="shared" si="132"/>
        <v>169631.86000000002</v>
      </c>
      <c r="J180" s="256">
        <f t="shared" ca="1" si="132"/>
        <v>186563.10156195267</v>
      </c>
      <c r="K180" s="256">
        <f t="shared" ca="1" si="132"/>
        <v>199895.00592862637</v>
      </c>
      <c r="L180" s="256">
        <f t="shared" ca="1" si="132"/>
        <v>201571.99901027782</v>
      </c>
      <c r="M180" s="256">
        <f t="shared" ca="1" si="132"/>
        <v>211660.64817555819</v>
      </c>
      <c r="N180" s="289">
        <f t="shared" ca="1" si="132"/>
        <v>214767.12039186485</v>
      </c>
    </row>
    <row r="181" spans="1:14" x14ac:dyDescent="0.25">
      <c r="A181" s="36"/>
      <c r="E181" s="221"/>
      <c r="F181" s="221"/>
      <c r="G181" s="221"/>
      <c r="H181" s="221"/>
      <c r="I181" s="221"/>
      <c r="J181" s="221"/>
      <c r="K181" s="221"/>
      <c r="L181" s="221"/>
      <c r="M181" s="221"/>
      <c r="N181" s="268"/>
    </row>
    <row r="182" spans="1:14" x14ac:dyDescent="0.25">
      <c r="A182" s="36"/>
      <c r="B182" s="1" t="s">
        <v>185</v>
      </c>
      <c r="D182" s="18" t="s">
        <v>69</v>
      </c>
      <c r="E182" s="221">
        <v>466051</v>
      </c>
      <c r="F182" s="221">
        <v>493674</v>
      </c>
      <c r="G182" s="221">
        <v>514141</v>
      </c>
      <c r="H182" s="221">
        <v>555005</v>
      </c>
      <c r="I182" s="221">
        <v>611632</v>
      </c>
      <c r="J182" s="240">
        <f t="shared" ref="J182:N182" si="133">I182*(1+J183)</f>
        <v>654788.55892888503</v>
      </c>
      <c r="K182" s="240">
        <f t="shared" si="133"/>
        <v>702838.26419151854</v>
      </c>
      <c r="L182" s="240">
        <f t="shared" si="133"/>
        <v>760023.21523311769</v>
      </c>
      <c r="M182" s="240">
        <f t="shared" si="133"/>
        <v>822218.63161804632</v>
      </c>
      <c r="N182" s="270">
        <f t="shared" si="133"/>
        <v>885352.31121549429</v>
      </c>
    </row>
    <row r="183" spans="1:14" x14ac:dyDescent="0.25">
      <c r="A183" s="36"/>
      <c r="C183" s="6" t="s">
        <v>186</v>
      </c>
      <c r="D183" s="30" t="s">
        <v>51</v>
      </c>
      <c r="E183" s="221"/>
      <c r="F183" s="224">
        <f t="shared" ref="F183:I183" si="134">F182/E182-1</f>
        <v>5.9270337366511328E-2</v>
      </c>
      <c r="G183" s="224">
        <f t="shared" si="134"/>
        <v>4.1458533364122863E-2</v>
      </c>
      <c r="H183" s="224">
        <f t="shared" si="134"/>
        <v>7.948014260679459E-2</v>
      </c>
      <c r="I183" s="224">
        <f t="shared" si="134"/>
        <v>0.10202971144404094</v>
      </c>
      <c r="J183" s="241">
        <f t="shared" ref="J183:N183" si="135">AVERAGE(F183:I183)</f>
        <v>7.055968119536743E-2</v>
      </c>
      <c r="K183" s="241">
        <f t="shared" si="135"/>
        <v>7.3382017152581455E-2</v>
      </c>
      <c r="L183" s="241">
        <f t="shared" si="135"/>
        <v>8.1362888099696107E-2</v>
      </c>
      <c r="M183" s="241">
        <f t="shared" si="135"/>
        <v>8.1833574472921486E-2</v>
      </c>
      <c r="N183" s="275">
        <f t="shared" si="135"/>
        <v>7.6784540230141626E-2</v>
      </c>
    </row>
    <row r="184" spans="1:14" x14ac:dyDescent="0.25">
      <c r="A184" s="36"/>
      <c r="C184" s="6" t="s">
        <v>188</v>
      </c>
      <c r="D184" s="30" t="s">
        <v>51</v>
      </c>
      <c r="E184" s="221"/>
      <c r="F184" s="224">
        <f t="shared" ref="F184:N184" si="136">F177/F182</f>
        <v>0.24512840457467883</v>
      </c>
      <c r="G184" s="224">
        <f t="shared" si="136"/>
        <v>0.2879656747857105</v>
      </c>
      <c r="H184" s="224">
        <f t="shared" si="136"/>
        <v>0.30284327168223707</v>
      </c>
      <c r="I184" s="224">
        <f t="shared" si="136"/>
        <v>0.32384348758730741</v>
      </c>
      <c r="J184" s="241">
        <f t="shared" si="136"/>
        <v>0.3356104193123623</v>
      </c>
      <c r="K184" s="241">
        <f t="shared" si="136"/>
        <v>0.33632901565666862</v>
      </c>
      <c r="L184" s="241">
        <f t="shared" si="136"/>
        <v>0.32786117483721233</v>
      </c>
      <c r="M184" s="241">
        <f t="shared" si="136"/>
        <v>0.3146819284678728</v>
      </c>
      <c r="N184" s="275">
        <f t="shared" si="136"/>
        <v>0.30051601136058992</v>
      </c>
    </row>
    <row r="185" spans="1:14" x14ac:dyDescent="0.25">
      <c r="A185" s="36"/>
      <c r="C185" t="s">
        <v>190</v>
      </c>
      <c r="E185" s="221"/>
      <c r="F185" s="221">
        <f>(E182+F182)/2</f>
        <v>479862.5</v>
      </c>
      <c r="G185" s="221">
        <f>(F182+G182)/2</f>
        <v>503907.5</v>
      </c>
      <c r="H185" s="221">
        <f>(G182+H182)/2</f>
        <v>534573</v>
      </c>
      <c r="I185" s="221">
        <f>(H182+I182)/2</f>
        <v>583318.5</v>
      </c>
      <c r="J185" s="240">
        <f t="shared" ref="J185:N185" si="137">(I182+J182)/2</f>
        <v>633210.27946444252</v>
      </c>
      <c r="K185" s="240">
        <f t="shared" si="137"/>
        <v>678813.41156020178</v>
      </c>
      <c r="L185" s="240">
        <f t="shared" si="137"/>
        <v>731430.73971231817</v>
      </c>
      <c r="M185" s="240">
        <f t="shared" si="137"/>
        <v>791120.923425582</v>
      </c>
      <c r="N185" s="270">
        <f t="shared" si="137"/>
        <v>853785.47141677025</v>
      </c>
    </row>
    <row r="186" spans="1:14" x14ac:dyDescent="0.25">
      <c r="A186" s="36"/>
      <c r="E186" s="221"/>
      <c r="F186" s="221"/>
      <c r="G186" s="221"/>
      <c r="H186" s="221"/>
      <c r="I186" s="221"/>
      <c r="J186" s="221"/>
      <c r="K186" s="221"/>
      <c r="L186" s="221"/>
      <c r="M186" s="221"/>
      <c r="N186" s="268"/>
    </row>
    <row r="187" spans="1:14" x14ac:dyDescent="0.25">
      <c r="A187" s="36"/>
      <c r="B187" t="s">
        <v>219</v>
      </c>
      <c r="E187" s="221">
        <f>'Debt Schedule'!E12</f>
        <v>184.43</v>
      </c>
      <c r="F187" s="221">
        <f>'Debt Schedule'!F12</f>
        <v>806.23</v>
      </c>
      <c r="G187" s="221">
        <f>'Debt Schedule'!G12</f>
        <v>579.51</v>
      </c>
      <c r="H187" s="221">
        <f>'Debt Schedule'!H12</f>
        <v>1243.69</v>
      </c>
      <c r="I187" s="221">
        <f>'Debt Schedule'!I12</f>
        <v>1800.7</v>
      </c>
      <c r="J187" s="221"/>
      <c r="K187" s="221"/>
      <c r="L187" s="221"/>
      <c r="M187" s="221"/>
      <c r="N187" s="268"/>
    </row>
    <row r="188" spans="1:14" x14ac:dyDescent="0.25">
      <c r="A188" s="125"/>
      <c r="B188" s="45"/>
      <c r="C188" s="178" t="s">
        <v>216</v>
      </c>
      <c r="D188" s="185" t="s">
        <v>51</v>
      </c>
      <c r="E188" s="272"/>
      <c r="F188" s="282"/>
      <c r="G188" s="299">
        <f>G187/'Asset Schedule'!G29</f>
        <v>8.547370346225211E-2</v>
      </c>
      <c r="H188" s="299">
        <f>H187/'Asset Schedule'!H29</f>
        <v>0.10309357825542746</v>
      </c>
      <c r="I188" s="299">
        <f>I187/'Asset Schedule'!I29</f>
        <v>0.10897831992916744</v>
      </c>
      <c r="J188" s="283">
        <f t="shared" ref="J188:N188" si="138">AVERAGE(G188:I188)</f>
        <v>9.9181867215615671E-2</v>
      </c>
      <c r="K188" s="283">
        <f t="shared" si="138"/>
        <v>0.10375125513340351</v>
      </c>
      <c r="L188" s="283">
        <f t="shared" si="138"/>
        <v>0.10397048075939554</v>
      </c>
      <c r="M188" s="283">
        <f t="shared" si="138"/>
        <v>0.10230120103613823</v>
      </c>
      <c r="N188" s="284">
        <f t="shared" si="138"/>
        <v>0.10334097897631243</v>
      </c>
    </row>
    <row r="189" spans="1:14" x14ac:dyDescent="0.25">
      <c r="E189" s="221"/>
      <c r="F189" s="221"/>
      <c r="G189" s="221"/>
      <c r="H189" s="221"/>
      <c r="I189" s="221"/>
      <c r="J189" s="221"/>
      <c r="K189" s="221"/>
      <c r="L189" s="221"/>
      <c r="M189" s="221"/>
      <c r="N189" s="221"/>
    </row>
    <row r="190" spans="1:14" x14ac:dyDescent="0.25">
      <c r="A190" s="118" t="s">
        <v>183</v>
      </c>
      <c r="B190" s="3"/>
      <c r="C190" s="3"/>
      <c r="D190" s="24"/>
      <c r="E190" s="231"/>
      <c r="F190" s="231"/>
      <c r="G190" s="231"/>
      <c r="H190" s="231"/>
      <c r="I190" s="231"/>
      <c r="J190" s="231"/>
      <c r="K190" s="231"/>
      <c r="L190" s="231"/>
      <c r="M190" s="231"/>
      <c r="N190" s="266"/>
    </row>
    <row r="191" spans="1:14" x14ac:dyDescent="0.25">
      <c r="A191" s="36"/>
      <c r="B191" t="s">
        <v>422</v>
      </c>
      <c r="D191" s="18" t="s">
        <v>69</v>
      </c>
      <c r="E191" s="221">
        <v>7677.69</v>
      </c>
      <c r="F191" s="221">
        <v>14009.65</v>
      </c>
      <c r="G191" s="221">
        <v>10920.56</v>
      </c>
      <c r="H191" s="221">
        <v>16293.8</v>
      </c>
      <c r="I191" s="221">
        <v>17509.73</v>
      </c>
      <c r="J191" s="240">
        <f>'Asset Schedule'!J63</f>
        <v>17740.236907380509</v>
      </c>
      <c r="K191" s="240">
        <f>'Asset Schedule'!K63</f>
        <v>11360.554108404242</v>
      </c>
      <c r="L191" s="240">
        <f>'Asset Schedule'!L63</f>
        <v>5889.6859925449171</v>
      </c>
      <c r="M191" s="240">
        <f>'Asset Schedule'!M63</f>
        <v>3893.5020920887919</v>
      </c>
      <c r="N191" s="270">
        <f>'Asset Schedule'!N63</f>
        <v>2534.2200880961973</v>
      </c>
    </row>
    <row r="192" spans="1:14" x14ac:dyDescent="0.25">
      <c r="A192" s="36"/>
      <c r="E192" s="223"/>
      <c r="F192" s="223"/>
      <c r="G192" s="223"/>
      <c r="H192" s="223"/>
      <c r="I192" s="223"/>
      <c r="J192" s="223"/>
      <c r="K192" s="223"/>
      <c r="L192" s="223"/>
      <c r="M192" s="223"/>
      <c r="N192" s="290"/>
    </row>
    <row r="193" spans="1:14" x14ac:dyDescent="0.25">
      <c r="A193" s="267" t="s">
        <v>349</v>
      </c>
      <c r="E193" s="221"/>
      <c r="F193" s="221"/>
      <c r="G193" s="221"/>
      <c r="H193" s="221"/>
      <c r="I193" s="221"/>
      <c r="J193" s="221"/>
      <c r="K193" s="221"/>
      <c r="L193" s="221"/>
      <c r="M193" s="221"/>
      <c r="N193" s="268"/>
    </row>
    <row r="194" spans="1:14" x14ac:dyDescent="0.25">
      <c r="A194" s="36"/>
      <c r="B194" t="s">
        <v>13</v>
      </c>
      <c r="D194" s="18" t="s">
        <v>69</v>
      </c>
      <c r="E194" s="221">
        <f>'P&amp;L'!E33</f>
        <v>1649.06</v>
      </c>
      <c r="F194" s="221">
        <f>'P&amp;L'!F33</f>
        <v>1669.3</v>
      </c>
      <c r="G194" s="221">
        <f>'P&amp;L'!G33</f>
        <v>1527.66</v>
      </c>
      <c r="H194" s="221">
        <f>'P&amp;L'!H33</f>
        <v>1427.74</v>
      </c>
      <c r="I194" s="221">
        <f>'P&amp;L'!I33</f>
        <v>1676.45</v>
      </c>
      <c r="J194" s="240">
        <f>'P&amp;L'!J33</f>
        <v>1893.5563152294433</v>
      </c>
      <c r="K194" s="240">
        <f>'P&amp;L'!K33</f>
        <v>2099.3409563768932</v>
      </c>
      <c r="L194" s="240">
        <f>'P&amp;L'!L33</f>
        <v>2620.6882834987919</v>
      </c>
      <c r="M194" s="240">
        <f>'P&amp;L'!M33</f>
        <v>2826.394313618237</v>
      </c>
      <c r="N194" s="270">
        <f>'P&amp;L'!N33</f>
        <v>3059.9652724151797</v>
      </c>
    </row>
    <row r="195" spans="1:14" x14ac:dyDescent="0.25">
      <c r="A195" s="36"/>
      <c r="B195" t="s">
        <v>350</v>
      </c>
      <c r="D195" s="18" t="s">
        <v>69</v>
      </c>
      <c r="E195" s="221">
        <f>-CF!E29</f>
        <v>556.54</v>
      </c>
      <c r="F195" s="221">
        <f>-CF!F29</f>
        <v>1716.56</v>
      </c>
      <c r="G195" s="221">
        <f>-CF!G29</f>
        <v>1257.23</v>
      </c>
      <c r="H195" s="221">
        <f>-CF!H29</f>
        <v>1027.75</v>
      </c>
      <c r="I195" s="221">
        <f>-CF!I29</f>
        <v>1389.69</v>
      </c>
      <c r="J195" s="240">
        <f t="shared" ref="J195:N195" si="139">J196*J194</f>
        <v>1497.0264662734578</v>
      </c>
      <c r="K195" s="240">
        <f t="shared" si="139"/>
        <v>1637.0534168507395</v>
      </c>
      <c r="L195" s="240">
        <f t="shared" si="139"/>
        <v>2095.9670232704452</v>
      </c>
      <c r="M195" s="240">
        <f t="shared" si="139"/>
        <v>2233.0033430292651</v>
      </c>
      <c r="N195" s="270">
        <f t="shared" si="139"/>
        <v>2416.9900681612949</v>
      </c>
    </row>
    <row r="196" spans="1:14" x14ac:dyDescent="0.25">
      <c r="A196" s="36"/>
      <c r="C196" s="6" t="s">
        <v>351</v>
      </c>
      <c r="D196" s="30" t="s">
        <v>51</v>
      </c>
      <c r="E196" s="121">
        <f t="shared" ref="E196:I196" si="140">E195/E194</f>
        <v>0.33748923629219069</v>
      </c>
      <c r="F196" s="121">
        <f t="shared" si="140"/>
        <v>1.0283112681962499</v>
      </c>
      <c r="G196" s="121">
        <f t="shared" si="140"/>
        <v>0.82297762591152479</v>
      </c>
      <c r="H196" s="121">
        <f t="shared" si="140"/>
        <v>0.71984394917842187</v>
      </c>
      <c r="I196" s="121">
        <f t="shared" si="140"/>
        <v>0.82894807480091859</v>
      </c>
      <c r="J196" s="242">
        <f t="shared" ref="J196:N196" si="141">AVERAGE(G196:I196)</f>
        <v>0.79058988329695501</v>
      </c>
      <c r="K196" s="242">
        <f t="shared" si="141"/>
        <v>0.77979396909209842</v>
      </c>
      <c r="L196" s="242">
        <f t="shared" si="141"/>
        <v>0.799777309063324</v>
      </c>
      <c r="M196" s="242">
        <f t="shared" si="141"/>
        <v>0.7900537204841257</v>
      </c>
      <c r="N196" s="277">
        <f t="shared" si="141"/>
        <v>0.78987499954651597</v>
      </c>
    </row>
    <row r="197" spans="1:14" x14ac:dyDescent="0.25">
      <c r="A197" s="125"/>
      <c r="B197" s="45" t="s">
        <v>249</v>
      </c>
      <c r="C197" s="45"/>
      <c r="D197" s="271" t="s">
        <v>69</v>
      </c>
      <c r="E197" s="272">
        <f>CF!E44</f>
        <v>915</v>
      </c>
      <c r="F197" s="272">
        <f>CF!F44</f>
        <v>1400</v>
      </c>
      <c r="G197" s="272">
        <f>CF!G44</f>
        <v>920</v>
      </c>
      <c r="H197" s="272">
        <f>CF!H44</f>
        <v>700</v>
      </c>
      <c r="I197" s="272">
        <f>CF!I44</f>
        <v>1003.33</v>
      </c>
      <c r="J197" s="273">
        <f t="shared" ref="J197:N197" si="142">J129</f>
        <v>1050.8326218311622</v>
      </c>
      <c r="K197" s="273">
        <f t="shared" si="142"/>
        <v>1100.946360024481</v>
      </c>
      <c r="L197" s="273">
        <f t="shared" si="142"/>
        <v>1153.45</v>
      </c>
      <c r="M197" s="273">
        <f t="shared" si="142"/>
        <v>1208.4575151058366</v>
      </c>
      <c r="N197" s="274">
        <f t="shared" si="142"/>
        <v>1266.088314028153</v>
      </c>
    </row>
    <row r="198" spans="1:14" x14ac:dyDescent="0.25">
      <c r="E198" s="221"/>
      <c r="F198" s="221"/>
      <c r="G198" s="221"/>
      <c r="H198" s="221"/>
      <c r="I198" s="221"/>
      <c r="J198" s="221"/>
      <c r="K198" s="221"/>
      <c r="L198" s="221"/>
      <c r="M198" s="221"/>
      <c r="N198" s="221"/>
    </row>
    <row r="199" spans="1:14" x14ac:dyDescent="0.25">
      <c r="A199" s="118" t="s">
        <v>402</v>
      </c>
      <c r="B199" s="3"/>
      <c r="C199" s="3"/>
      <c r="D199" s="24"/>
      <c r="E199" s="231"/>
      <c r="F199" s="231"/>
      <c r="G199" s="231"/>
      <c r="H199" s="231"/>
      <c r="I199" s="231"/>
      <c r="J199" s="231"/>
      <c r="K199" s="231"/>
      <c r="L199" s="231"/>
      <c r="M199" s="231"/>
      <c r="N199" s="266"/>
    </row>
    <row r="200" spans="1:14" x14ac:dyDescent="0.25">
      <c r="A200" s="36"/>
      <c r="B200" t="s">
        <v>379</v>
      </c>
      <c r="D200" s="18" t="s">
        <v>69</v>
      </c>
      <c r="E200" s="221">
        <f>-'NOI &amp; NDCF'!E9</f>
        <v>767</v>
      </c>
      <c r="F200" s="221">
        <f>-'NOI &amp; NDCF'!F9</f>
        <v>1025</v>
      </c>
      <c r="G200" s="221">
        <f>-'NOI &amp; NDCF'!G9</f>
        <v>1115</v>
      </c>
      <c r="H200" s="221">
        <f>-'NOI &amp; NDCF'!H9</f>
        <v>1197</v>
      </c>
      <c r="I200" s="221">
        <f>-'NOI &amp; NDCF'!I9</f>
        <v>1325</v>
      </c>
      <c r="J200" s="240">
        <f>J201*'Revenue Schedule'!J19</f>
        <v>1518.2633558203543</v>
      </c>
      <c r="K200" s="240">
        <f>K201*'Revenue Schedule'!K19</f>
        <v>1727.7438094105028</v>
      </c>
      <c r="L200" s="240">
        <f>L201*'Revenue Schedule'!L19</f>
        <v>2138.5518103454679</v>
      </c>
      <c r="M200" s="240">
        <f>M201*'Revenue Schedule'!M19</f>
        <v>2309.582829167628</v>
      </c>
      <c r="N200" s="270">
        <f>N201*'Revenue Schedule'!N19</f>
        <v>2517.9687406428093</v>
      </c>
    </row>
    <row r="201" spans="1:14" x14ac:dyDescent="0.25">
      <c r="A201" s="36"/>
      <c r="C201" s="6" t="s">
        <v>171</v>
      </c>
      <c r="D201" s="30" t="s">
        <v>51</v>
      </c>
      <c r="E201" s="224">
        <f>E200/'Revenue Schedule'!E19</f>
        <v>4.1514190871099789E-2</v>
      </c>
      <c r="F201" s="224">
        <f>F200/'Revenue Schedule'!F19</f>
        <v>4.624967061210198E-2</v>
      </c>
      <c r="G201" s="224">
        <f>G200/'Revenue Schedule'!G19</f>
        <v>4.685267669552063E-2</v>
      </c>
      <c r="H201" s="224">
        <f>H200/'Revenue Schedule'!H19</f>
        <v>4.7339178291526285E-2</v>
      </c>
      <c r="I201" s="224">
        <f>I200/'Revenue Schedule'!I19</f>
        <v>4.7019396121911181E-2</v>
      </c>
      <c r="J201" s="241">
        <f t="shared" ref="J201:N201" si="143">I201</f>
        <v>4.7019396121911181E-2</v>
      </c>
      <c r="K201" s="241">
        <f t="shared" si="143"/>
        <v>4.7019396121911181E-2</v>
      </c>
      <c r="L201" s="241">
        <f t="shared" si="143"/>
        <v>4.7019396121911181E-2</v>
      </c>
      <c r="M201" s="241">
        <f t="shared" si="143"/>
        <v>4.7019396121911181E-2</v>
      </c>
      <c r="N201" s="275">
        <f t="shared" si="143"/>
        <v>4.7019396121911181E-2</v>
      </c>
    </row>
    <row r="202" spans="1:14" x14ac:dyDescent="0.25">
      <c r="A202" s="36"/>
      <c r="B202" t="s">
        <v>381</v>
      </c>
      <c r="D202" s="18" t="s">
        <v>69</v>
      </c>
      <c r="E202" s="221">
        <f>-'NOI &amp; NDCF'!E11</f>
        <v>2431</v>
      </c>
      <c r="F202" s="221">
        <f>-'NOI &amp; NDCF'!F11</f>
        <v>3540</v>
      </c>
      <c r="G202" s="221">
        <f>-'NOI &amp; NDCF'!G11</f>
        <v>5237</v>
      </c>
      <c r="H202" s="221">
        <f>-'NOI &amp; NDCF'!H11</f>
        <v>5661</v>
      </c>
      <c r="I202" s="221">
        <f>-'NOI &amp; NDCF'!I11</f>
        <v>6092</v>
      </c>
      <c r="J202" s="240">
        <f>J203*'Revenue Schedule'!J27</f>
        <v>6936.0707968784282</v>
      </c>
      <c r="K202" s="240">
        <f>K203*'Revenue Schedule'!K27</f>
        <v>7870.5708760181533</v>
      </c>
      <c r="L202" s="240">
        <f>L203*'Revenue Schedule'!L27</f>
        <v>9648.0075062459546</v>
      </c>
      <c r="M202" s="240">
        <f>M203*'Revenue Schedule'!M27</f>
        <v>10450.523540686783</v>
      </c>
      <c r="N202" s="270">
        <f>N203*'Revenue Schedule'!N27</f>
        <v>11349.855764888203</v>
      </c>
    </row>
    <row r="203" spans="1:14" x14ac:dyDescent="0.25">
      <c r="A203" s="36"/>
      <c r="C203" s="6" t="s">
        <v>172</v>
      </c>
      <c r="D203" s="30" t="s">
        <v>51</v>
      </c>
      <c r="E203" s="224">
        <f>E202/'Revenue Schedule'!E27</f>
        <v>0.10299450921908894</v>
      </c>
      <c r="F203" s="224">
        <f>F202/'Revenue Schedule'!F27</f>
        <v>0.1194894358174647</v>
      </c>
      <c r="G203" s="224">
        <f>G202/'Revenue Schedule'!G27</f>
        <v>0.15314911963382241</v>
      </c>
      <c r="H203" s="224">
        <f>H202/'Revenue Schedule'!H27</f>
        <v>0.15361520814982815</v>
      </c>
      <c r="I203" s="224">
        <f>I202/'Revenue Schedule'!I27</f>
        <v>0.1508319526052927</v>
      </c>
      <c r="J203" s="241">
        <f t="shared" ref="J203:N203" si="144">AVERAGE(G203:I203)</f>
        <v>0.15253209346298111</v>
      </c>
      <c r="K203" s="241">
        <f t="shared" si="144"/>
        <v>0.15232641807270064</v>
      </c>
      <c r="L203" s="241">
        <f t="shared" si="144"/>
        <v>0.15189682138032481</v>
      </c>
      <c r="M203" s="241">
        <f t="shared" si="144"/>
        <v>0.15225177763866884</v>
      </c>
      <c r="N203" s="275">
        <f t="shared" si="144"/>
        <v>0.15215833903056475</v>
      </c>
    </row>
    <row r="204" spans="1:14" x14ac:dyDescent="0.25">
      <c r="A204" s="36"/>
      <c r="B204" t="s">
        <v>383</v>
      </c>
      <c r="D204" s="18" t="s">
        <v>69</v>
      </c>
      <c r="E204" s="221">
        <f>-'NOI &amp; NDCF'!E13</f>
        <v>536</v>
      </c>
      <c r="F204" s="221">
        <f>-'NOI &amp; NDCF'!F13</f>
        <v>670</v>
      </c>
      <c r="G204" s="221">
        <f>-'NOI &amp; NDCF'!G13</f>
        <v>695</v>
      </c>
      <c r="H204" s="221">
        <f>-'NOI &amp; NDCF'!H13</f>
        <v>766</v>
      </c>
      <c r="I204" s="221">
        <f>-'NOI &amp; NDCF'!I13</f>
        <v>851</v>
      </c>
      <c r="J204" s="240">
        <f>J205*'Revenue Schedule'!J19</f>
        <v>975.12612513443128</v>
      </c>
      <c r="K204" s="240">
        <f>K205*'Revenue Schedule'!K19</f>
        <v>1109.6679107987457</v>
      </c>
      <c r="L204" s="240">
        <f>L205*'Revenue Schedule'!L19</f>
        <v>1373.515162719995</v>
      </c>
      <c r="M204" s="240">
        <f>M205*'Revenue Schedule'!M19</f>
        <v>1483.3622548087933</v>
      </c>
      <c r="N204" s="270">
        <f>N205*'Revenue Schedule'!N19</f>
        <v>1617.2010553109665</v>
      </c>
    </row>
    <row r="205" spans="1:14" x14ac:dyDescent="0.25">
      <c r="A205" s="36"/>
      <c r="C205" s="6" t="s">
        <v>171</v>
      </c>
      <c r="D205" s="30" t="s">
        <v>51</v>
      </c>
      <c r="E205" s="224">
        <f>E204/'Revenue Schedule'!E19</f>
        <v>2.90112207391258E-2</v>
      </c>
      <c r="F205" s="224">
        <f>F204/'Revenue Schedule'!F19</f>
        <v>3.0231492009861784E-2</v>
      </c>
      <c r="G205" s="224">
        <f>G204/'Revenue Schedule'!G19</f>
        <v>2.9204134801243804E-2</v>
      </c>
      <c r="H205" s="224">
        <f>H204/'Revenue Schedule'!H19</f>
        <v>3.0293910251720246E-2</v>
      </c>
      <c r="I205" s="224">
        <f>I204/'Revenue Schedule'!I19</f>
        <v>3.0198872528110501E-2</v>
      </c>
      <c r="J205" s="241">
        <f t="shared" ref="J205:N205" si="145">I205</f>
        <v>3.0198872528110501E-2</v>
      </c>
      <c r="K205" s="241">
        <f t="shared" si="145"/>
        <v>3.0198872528110501E-2</v>
      </c>
      <c r="L205" s="241">
        <f t="shared" si="145"/>
        <v>3.0198872528110501E-2</v>
      </c>
      <c r="M205" s="241">
        <f t="shared" si="145"/>
        <v>3.0198872528110501E-2</v>
      </c>
      <c r="N205" s="275">
        <f t="shared" si="145"/>
        <v>3.0198872528110501E-2</v>
      </c>
    </row>
    <row r="206" spans="1:14" x14ac:dyDescent="0.25">
      <c r="A206" s="36"/>
      <c r="B206" t="s">
        <v>384</v>
      </c>
      <c r="D206" s="18" t="s">
        <v>69</v>
      </c>
      <c r="E206" s="221">
        <f>-'NOI &amp; NDCF'!E14</f>
        <v>127</v>
      </c>
      <c r="F206" s="221">
        <f>-'NOI &amp; NDCF'!F14</f>
        <v>148</v>
      </c>
      <c r="G206" s="221">
        <f>-'NOI &amp; NDCF'!G14</f>
        <v>166</v>
      </c>
      <c r="H206" s="221">
        <f>-'NOI &amp; NDCF'!H14</f>
        <v>79</v>
      </c>
      <c r="I206" s="221">
        <f>-'NOI &amp; NDCF'!I14</f>
        <v>51</v>
      </c>
      <c r="J206" s="240">
        <f t="shared" ref="J206:N206" si="146">AVERAGE(H206:I206)</f>
        <v>65</v>
      </c>
      <c r="K206" s="240">
        <f t="shared" si="146"/>
        <v>58</v>
      </c>
      <c r="L206" s="240">
        <f t="shared" si="146"/>
        <v>61.5</v>
      </c>
      <c r="M206" s="240">
        <f t="shared" si="146"/>
        <v>59.75</v>
      </c>
      <c r="N206" s="270">
        <f t="shared" si="146"/>
        <v>60.625</v>
      </c>
    </row>
    <row r="207" spans="1:14" x14ac:dyDescent="0.25">
      <c r="A207" s="36"/>
      <c r="B207" t="s">
        <v>385</v>
      </c>
      <c r="D207" s="18" t="s">
        <v>69</v>
      </c>
      <c r="E207" s="221">
        <f>-'NOI &amp; NDCF'!E15</f>
        <v>581</v>
      </c>
      <c r="F207" s="221">
        <f>-'NOI &amp; NDCF'!F15</f>
        <v>736</v>
      </c>
      <c r="G207" s="221">
        <f>-'NOI &amp; NDCF'!G15</f>
        <v>871</v>
      </c>
      <c r="H207" s="221">
        <f>-'NOI &amp; NDCF'!H15</f>
        <v>885</v>
      </c>
      <c r="I207" s="221">
        <f>-'NOI &amp; NDCF'!I15</f>
        <v>973</v>
      </c>
      <c r="J207" s="240">
        <f>J208*'Revenue Schedule'!J27</f>
        <v>1115.2501713785866</v>
      </c>
      <c r="K207" s="240">
        <f>K208*'Revenue Schedule'!K27</f>
        <v>1250.9306461273977</v>
      </c>
      <c r="L207" s="240">
        <f>L208*'Revenue Schedule'!L27</f>
        <v>1541.9045982167077</v>
      </c>
      <c r="M207" s="240">
        <f>M208*'Revenue Schedule'!M27</f>
        <v>1670.4982619297975</v>
      </c>
      <c r="N207" s="270">
        <f>N208*'Revenue Schedule'!N27</f>
        <v>1810.6838027154756</v>
      </c>
    </row>
    <row r="208" spans="1:14" x14ac:dyDescent="0.25">
      <c r="A208" s="36"/>
      <c r="C208" s="6" t="s">
        <v>172</v>
      </c>
      <c r="D208" s="30" t="s">
        <v>51</v>
      </c>
      <c r="E208" s="224">
        <f>E207/'Revenue Schedule'!E27</f>
        <v>2.4615306399132321E-2</v>
      </c>
      <c r="F208" s="224">
        <f>F207/'Revenue Schedule'!F27</f>
        <v>2.4843001345100004E-2</v>
      </c>
      <c r="G208" s="224">
        <f>G207/'Revenue Schedule'!G27</f>
        <v>2.5471239870356946E-2</v>
      </c>
      <c r="H208" s="224">
        <f>H207/'Revenue Schedule'!H27</f>
        <v>2.401509613365093E-2</v>
      </c>
      <c r="I208" s="224">
        <f>I207/'Revenue Schedule'!I27</f>
        <v>2.4090526901666083E-2</v>
      </c>
      <c r="J208" s="241">
        <f t="shared" ref="J208:N208" si="147">AVERAGE(G208:I208)</f>
        <v>2.4525620968557985E-2</v>
      </c>
      <c r="K208" s="241">
        <f t="shared" si="147"/>
        <v>2.4210414667958331E-2</v>
      </c>
      <c r="L208" s="241">
        <f t="shared" si="147"/>
        <v>2.42755208460608E-2</v>
      </c>
      <c r="M208" s="241">
        <f t="shared" si="147"/>
        <v>2.4337185494192375E-2</v>
      </c>
      <c r="N208" s="275">
        <f t="shared" si="147"/>
        <v>2.4274373669403836E-2</v>
      </c>
    </row>
    <row r="209" spans="1:14" x14ac:dyDescent="0.25">
      <c r="A209" s="36"/>
      <c r="B209" t="s">
        <v>403</v>
      </c>
      <c r="D209" s="18" t="s">
        <v>69</v>
      </c>
      <c r="E209" s="221">
        <f>'NOI &amp; NDCF'!E16</f>
        <v>915</v>
      </c>
      <c r="F209" s="221">
        <f>'NOI &amp; NDCF'!F16</f>
        <v>1400</v>
      </c>
      <c r="G209" s="221">
        <f>'NOI &amp; NDCF'!G16</f>
        <v>920</v>
      </c>
      <c r="H209" s="221">
        <f>'NOI &amp; NDCF'!H16</f>
        <v>700</v>
      </c>
      <c r="I209" s="221">
        <f>'NOI &amp; NDCF'!I16</f>
        <v>1003</v>
      </c>
      <c r="J209" s="240">
        <f>'Data &amp; Assumptions'!J129</f>
        <v>1050.8326218311622</v>
      </c>
      <c r="K209" s="240">
        <f>'Data &amp; Assumptions'!K129</f>
        <v>1100.946360024481</v>
      </c>
      <c r="L209" s="240">
        <f>'Data &amp; Assumptions'!L129</f>
        <v>1153.45</v>
      </c>
      <c r="M209" s="240">
        <f>'Data &amp; Assumptions'!M129</f>
        <v>1208.4575151058366</v>
      </c>
      <c r="N209" s="270">
        <f>'Data &amp; Assumptions'!N129</f>
        <v>1266.088314028153</v>
      </c>
    </row>
    <row r="210" spans="1:14" x14ac:dyDescent="0.25">
      <c r="A210" s="36"/>
      <c r="B210" t="s">
        <v>2</v>
      </c>
      <c r="D210" s="18" t="s">
        <v>69</v>
      </c>
      <c r="E210" s="221">
        <f>'NOI &amp; NDCF'!E17</f>
        <v>1084</v>
      </c>
      <c r="F210" s="221">
        <f>'NOI &amp; NDCF'!F17</f>
        <v>1080</v>
      </c>
      <c r="G210" s="221">
        <f>'NOI &amp; NDCF'!G17</f>
        <v>1006</v>
      </c>
      <c r="H210" s="221">
        <f>'NOI &amp; NDCF'!H17</f>
        <v>1682</v>
      </c>
      <c r="I210" s="221">
        <f>'NOI &amp; NDCF'!I17</f>
        <v>1122</v>
      </c>
      <c r="J210" s="240">
        <f>J211*'Revenue Schedule'!J19</f>
        <v>1285.6539511173112</v>
      </c>
      <c r="K210" s="240">
        <f>K211*'Revenue Schedule'!K19</f>
        <v>1463.0404182328937</v>
      </c>
      <c r="L210" s="240">
        <f>L211*'Revenue Schedule'!L19</f>
        <v>1810.9095329868792</v>
      </c>
      <c r="M210" s="240">
        <f>M211*'Revenue Schedule'!M19</f>
        <v>1955.7373089253422</v>
      </c>
      <c r="N210" s="270">
        <f>N211*'Revenue Schedule'!N19</f>
        <v>2132.1969260386654</v>
      </c>
    </row>
    <row r="211" spans="1:14" x14ac:dyDescent="0.25">
      <c r="A211" s="36"/>
      <c r="C211" s="6" t="s">
        <v>171</v>
      </c>
      <c r="D211" s="30" t="s">
        <v>51</v>
      </c>
      <c r="E211" s="224">
        <f>E210/'Revenue Schedule'!E19</f>
        <v>5.8671946420172323E-2</v>
      </c>
      <c r="F211" s="224">
        <f>F210/'Revenue Schedule'!F19</f>
        <v>4.873136025470258E-2</v>
      </c>
      <c r="G211" s="224">
        <f>G210/'Revenue Schedule'!G19</f>
        <v>4.2272459870577359E-2</v>
      </c>
      <c r="H211" s="224">
        <f>H210/'Revenue Schedule'!H19</f>
        <v>6.652004835952148E-2</v>
      </c>
      <c r="I211" s="224">
        <f>I210/'Revenue Schedule'!I19</f>
        <v>3.9815669772667428E-2</v>
      </c>
      <c r="J211" s="241">
        <f t="shared" ref="J211:N211" si="148">I211</f>
        <v>3.9815669772667428E-2</v>
      </c>
      <c r="K211" s="241">
        <f t="shared" si="148"/>
        <v>3.9815669772667428E-2</v>
      </c>
      <c r="L211" s="241">
        <f t="shared" si="148"/>
        <v>3.9815669772667428E-2</v>
      </c>
      <c r="M211" s="241">
        <f t="shared" si="148"/>
        <v>3.9815669772667428E-2</v>
      </c>
      <c r="N211" s="275">
        <f t="shared" si="148"/>
        <v>3.9815669772667428E-2</v>
      </c>
    </row>
    <row r="212" spans="1:14" x14ac:dyDescent="0.25">
      <c r="A212" s="36"/>
      <c r="B212" t="s">
        <v>387</v>
      </c>
      <c r="D212" s="18" t="s">
        <v>69</v>
      </c>
      <c r="E212" s="221">
        <f>'NOI &amp; NDCF'!E19</f>
        <v>418</v>
      </c>
      <c r="F212" s="221">
        <f>'NOI &amp; NDCF'!F19</f>
        <v>2977</v>
      </c>
      <c r="G212" s="221">
        <f>'NOI &amp; NDCF'!G19</f>
        <v>2540</v>
      </c>
      <c r="H212" s="221">
        <f>'NOI &amp; NDCF'!H19</f>
        <v>473</v>
      </c>
      <c r="I212" s="221">
        <f>'NOI &amp; NDCF'!I19</f>
        <v>1249</v>
      </c>
      <c r="J212" s="240">
        <f ca="1">J213*BS!J30</f>
        <v>1274.3664831933679</v>
      </c>
      <c r="K212" s="240">
        <f ca="1">K213*BS!K30</f>
        <v>1291.0423403584689</v>
      </c>
      <c r="L212" s="240">
        <f ca="1">L213*BS!L30</f>
        <v>1299.2548208892235</v>
      </c>
      <c r="M212" s="240">
        <f ca="1">M213*BS!M30</f>
        <v>1308.7634210136139</v>
      </c>
      <c r="N212" s="270">
        <f ca="1">N213*BS!N30</f>
        <v>1313.8784655778625</v>
      </c>
    </row>
    <row r="213" spans="1:14" x14ac:dyDescent="0.25">
      <c r="A213" s="36"/>
      <c r="C213" t="s">
        <v>411</v>
      </c>
      <c r="D213" s="18" t="s">
        <v>51</v>
      </c>
      <c r="E213" s="224">
        <f>E212/BS!E30</f>
        <v>9.2715087246671537E-4</v>
      </c>
      <c r="F213" s="224">
        <f>F212/BS!F30</f>
        <v>6.5868837289346687E-3</v>
      </c>
      <c r="G213" s="224">
        <f>G212/BS!G30</f>
        <v>5.4727500463406199E-3</v>
      </c>
      <c r="H213" s="224">
        <f>H212/BS!H30</f>
        <v>9.9839891009455804E-4</v>
      </c>
      <c r="I213" s="224">
        <f>I212/BS!I30</f>
        <v>2.551699651589827E-3</v>
      </c>
      <c r="J213" s="241">
        <f t="shared" ref="J213:N213" si="149">I213</f>
        <v>2.551699651589827E-3</v>
      </c>
      <c r="K213" s="241">
        <f t="shared" si="149"/>
        <v>2.551699651589827E-3</v>
      </c>
      <c r="L213" s="241">
        <f t="shared" si="149"/>
        <v>2.551699651589827E-3</v>
      </c>
      <c r="M213" s="241">
        <f t="shared" si="149"/>
        <v>2.551699651589827E-3</v>
      </c>
      <c r="N213" s="275">
        <f t="shared" si="149"/>
        <v>2.551699651589827E-3</v>
      </c>
    </row>
    <row r="214" spans="1:14" x14ac:dyDescent="0.25">
      <c r="A214" s="36"/>
      <c r="B214" t="s">
        <v>388</v>
      </c>
      <c r="D214" s="18" t="s">
        <v>69</v>
      </c>
      <c r="E214" s="221">
        <f>-'NOI &amp; NDCF'!E20</f>
        <v>522</v>
      </c>
      <c r="F214" s="221">
        <f>-'NOI &amp; NDCF'!F20</f>
        <v>1670</v>
      </c>
      <c r="G214" s="221">
        <f>-'NOI &amp; NDCF'!G20</f>
        <v>1228</v>
      </c>
      <c r="H214" s="221">
        <f>-'NOI &amp; NDCF'!H20</f>
        <v>1008</v>
      </c>
      <c r="I214" s="221">
        <f>-'NOI &amp; NDCF'!I20</f>
        <v>1384</v>
      </c>
      <c r="J214" s="240">
        <f>J195</f>
        <v>1497.0264662734578</v>
      </c>
      <c r="K214" s="240">
        <f>K195</f>
        <v>1637.0534168507395</v>
      </c>
      <c r="L214" s="240">
        <f>L195</f>
        <v>2095.9670232704452</v>
      </c>
      <c r="M214" s="240">
        <f>M195</f>
        <v>2233.0033430292651</v>
      </c>
      <c r="N214" s="270">
        <f>N195</f>
        <v>2416.9900681612949</v>
      </c>
    </row>
    <row r="215" spans="1:14" x14ac:dyDescent="0.25">
      <c r="A215" s="36"/>
      <c r="B215" t="s">
        <v>404</v>
      </c>
      <c r="D215" s="18" t="s">
        <v>69</v>
      </c>
      <c r="E215" s="221">
        <f>-'NOI &amp; NDCF'!E21</f>
        <v>133</v>
      </c>
      <c r="F215" s="221">
        <f>-'NOI &amp; NDCF'!F21</f>
        <v>134</v>
      </c>
      <c r="G215" s="221">
        <f>-'NOI &amp; NDCF'!G21</f>
        <v>69</v>
      </c>
      <c r="H215" s="221">
        <f>-'NOI &amp; NDCF'!H21</f>
        <v>3</v>
      </c>
      <c r="I215" s="221">
        <f>-'NOI &amp; NDCF'!I21</f>
        <v>0</v>
      </c>
      <c r="J215" s="240">
        <f t="shared" ref="J215:N215" si="150">I215</f>
        <v>0</v>
      </c>
      <c r="K215" s="240">
        <f t="shared" si="150"/>
        <v>0</v>
      </c>
      <c r="L215" s="240">
        <f t="shared" si="150"/>
        <v>0</v>
      </c>
      <c r="M215" s="240">
        <f t="shared" si="150"/>
        <v>0</v>
      </c>
      <c r="N215" s="270">
        <f t="shared" si="150"/>
        <v>0</v>
      </c>
    </row>
    <row r="216" spans="1:14" x14ac:dyDescent="0.25">
      <c r="A216" s="36"/>
      <c r="B216" t="s">
        <v>407</v>
      </c>
      <c r="D216" s="18" t="s">
        <v>69</v>
      </c>
      <c r="E216" s="221">
        <f>-'NOI &amp; NDCF'!E22</f>
        <v>1422</v>
      </c>
      <c r="F216" s="221">
        <f>-'NOI &amp; NDCF'!F22</f>
        <v>1848</v>
      </c>
      <c r="G216" s="221">
        <f>-'NOI &amp; NDCF'!G22</f>
        <v>3329</v>
      </c>
      <c r="H216" s="221">
        <f>-'NOI &amp; NDCF'!H22</f>
        <v>3333</v>
      </c>
      <c r="I216" s="221">
        <f>-'NOI &amp; NDCF'!I22</f>
        <v>5983</v>
      </c>
      <c r="J216" s="240">
        <f>'Debt Schedule'!J13*(I216/('Data &amp; Assumptions'!I216+'Data &amp; Assumptions'!I222))</f>
        <v>6706.4606986661265</v>
      </c>
      <c r="K216" s="240">
        <f>'Debt Schedule'!K13*(J216/('Data &amp; Assumptions'!J216+'Data &amp; Assumptions'!J222))</f>
        <v>7377.9312983679047</v>
      </c>
      <c r="L216" s="240">
        <f>'Debt Schedule'!L13*(K216/('Data &amp; Assumptions'!K216+'Data &amp; Assumptions'!K222))</f>
        <v>7948.2786669859988</v>
      </c>
      <c r="M216" s="240">
        <f>'Debt Schedule'!M13*(L216/('Data &amp; Assumptions'!L216+'Data &amp; Assumptions'!L222))</f>
        <v>8508.0004011669826</v>
      </c>
      <c r="N216" s="270">
        <f>'Debt Schedule'!N13*(M216/('Data &amp; Assumptions'!M216+'Data &amp; Assumptions'!M222))</f>
        <v>9106.2187533578763</v>
      </c>
    </row>
    <row r="217" spans="1:14" x14ac:dyDescent="0.25">
      <c r="A217" s="36"/>
      <c r="C217" s="6" t="s">
        <v>410</v>
      </c>
      <c r="D217" s="30" t="s">
        <v>51</v>
      </c>
      <c r="E217" s="224">
        <f>IFERROR(E216/'Debt Schedule'!E13,0)</f>
        <v>0</v>
      </c>
      <c r="F217" s="224">
        <f>F216/'Debt Schedule'!F13</f>
        <v>0.27061403716762672</v>
      </c>
      <c r="G217" s="224">
        <f>G216/'Debt Schedule'!G13</f>
        <v>0.36286454097733672</v>
      </c>
      <c r="H217" s="224">
        <f>H216/'Debt Schedule'!H13</f>
        <v>0.29980655436781528</v>
      </c>
      <c r="I217" s="224">
        <f>I216/'Debt Schedule'!I13</f>
        <v>0.47250400571430856</v>
      </c>
      <c r="J217" s="241">
        <f>I217</f>
        <v>0.47250400571430856</v>
      </c>
      <c r="K217" s="241">
        <f>J217</f>
        <v>0.47250400571430856</v>
      </c>
      <c r="L217" s="241">
        <f>K217</f>
        <v>0.47250400571430856</v>
      </c>
      <c r="M217" s="241">
        <f>L217</f>
        <v>0.47250400571430856</v>
      </c>
      <c r="N217" s="275">
        <f>M217</f>
        <v>0.47250400571430856</v>
      </c>
    </row>
    <row r="218" spans="1:14" x14ac:dyDescent="0.25">
      <c r="A218" s="36"/>
      <c r="B218" t="s">
        <v>362</v>
      </c>
      <c r="D218" s="18" t="s">
        <v>69</v>
      </c>
      <c r="E218" s="221">
        <f>-'NOI &amp; NDCF'!E23</f>
        <v>679</v>
      </c>
      <c r="F218" s="221">
        <f>-'NOI &amp; NDCF'!F23</f>
        <v>376</v>
      </c>
      <c r="G218" s="221">
        <f>-'NOI &amp; NDCF'!G23</f>
        <v>711</v>
      </c>
      <c r="H218" s="221">
        <f>-'NOI &amp; NDCF'!H23</f>
        <v>1055</v>
      </c>
      <c r="I218" s="221">
        <f>-'NOI &amp; NDCF'!I23</f>
        <v>0</v>
      </c>
      <c r="J218" s="240">
        <v>0</v>
      </c>
      <c r="K218" s="240">
        <v>0</v>
      </c>
      <c r="L218" s="240">
        <v>0</v>
      </c>
      <c r="M218" s="240">
        <v>0</v>
      </c>
      <c r="N218" s="270">
        <v>0</v>
      </c>
    </row>
    <row r="219" spans="1:14" x14ac:dyDescent="0.25">
      <c r="A219" s="36"/>
      <c r="B219" t="s">
        <v>392</v>
      </c>
      <c r="D219" s="18" t="s">
        <v>69</v>
      </c>
      <c r="E219" s="221">
        <f>'NOI &amp; NDCF'!E25</f>
        <v>18862</v>
      </c>
      <c r="F219" s="221">
        <f>'NOI &amp; NDCF'!F25</f>
        <v>24814</v>
      </c>
      <c r="G219" s="221">
        <f>'NOI &amp; NDCF'!G25</f>
        <v>25001</v>
      </c>
      <c r="H219" s="221">
        <f>'NOI &amp; NDCF'!H25</f>
        <v>25756</v>
      </c>
      <c r="I219" s="221">
        <f>'NOI &amp; NDCF'!I25</f>
        <v>26956</v>
      </c>
      <c r="J219" s="240">
        <f>'NOI &amp; NDCF'!J25</f>
        <v>30946.862014619488</v>
      </c>
      <c r="K219" s="240">
        <f>'NOI &amp; NDCF'!K25</f>
        <v>32368.111297273586</v>
      </c>
      <c r="L219" s="240">
        <f>'NOI &amp; NDCF'!L25</f>
        <v>44819.051775978369</v>
      </c>
      <c r="M219" s="240">
        <f>'NOI &amp; NDCF'!M25</f>
        <v>44772.030434977132</v>
      </c>
      <c r="N219" s="270">
        <f>'NOI &amp; NDCF'!N25</f>
        <v>49838.609909894898</v>
      </c>
    </row>
    <row r="220" spans="1:14" x14ac:dyDescent="0.25">
      <c r="A220" s="36"/>
      <c r="C220" s="6" t="s">
        <v>408</v>
      </c>
      <c r="D220" s="30" t="s">
        <v>51</v>
      </c>
      <c r="E220" s="224">
        <f>E219/'NOI &amp; NDCF'!E24</f>
        <v>1.0064940262429096</v>
      </c>
      <c r="F220" s="224">
        <f>F219/'NOI &amp; NDCF'!F24</f>
        <v>1.0011070515634279</v>
      </c>
      <c r="G220" s="224">
        <f>G219/'NOI &amp; NDCF'!G24</f>
        <v>0.9976420675264932</v>
      </c>
      <c r="H220" s="224">
        <f>H219/'NOI &amp; NDCF'!H24</f>
        <v>1.0082295425035144</v>
      </c>
      <c r="I220" s="224">
        <f>I219/'NOI &amp; NDCF'!I24</f>
        <v>0.99955762270222415</v>
      </c>
      <c r="J220" s="241">
        <f t="shared" ref="J220:N220" si="151">I220</f>
        <v>0.99955762270222415</v>
      </c>
      <c r="K220" s="241">
        <f t="shared" si="151"/>
        <v>0.99955762270222415</v>
      </c>
      <c r="L220" s="241">
        <f t="shared" si="151"/>
        <v>0.99955762270222415</v>
      </c>
      <c r="M220" s="241">
        <f t="shared" si="151"/>
        <v>0.99955762270222415</v>
      </c>
      <c r="N220" s="275">
        <f t="shared" si="151"/>
        <v>0.99955762270222415</v>
      </c>
    </row>
    <row r="221" spans="1:14" x14ac:dyDescent="0.25">
      <c r="A221" s="36"/>
      <c r="B221" t="s">
        <v>393</v>
      </c>
      <c r="D221" s="18" t="s">
        <v>69</v>
      </c>
      <c r="E221" s="221">
        <f>'NOI &amp; NDCF'!E26</f>
        <v>738</v>
      </c>
      <c r="F221" s="221">
        <f>'NOI &amp; NDCF'!F26</f>
        <v>0</v>
      </c>
      <c r="G221" s="221">
        <f>'NOI &amp; NDCF'!G26</f>
        <v>2070</v>
      </c>
      <c r="H221" s="221">
        <f>'NOI &amp; NDCF'!H26</f>
        <v>2074</v>
      </c>
      <c r="I221" s="221">
        <f>'NOI &amp; NDCF'!I26</f>
        <v>1728</v>
      </c>
      <c r="J221" s="240">
        <f>I221*(1+J130)</f>
        <v>1810.4075478806064</v>
      </c>
      <c r="K221" s="240">
        <f>J221*(1+K130)</f>
        <v>1896.74507489761</v>
      </c>
      <c r="L221" s="240">
        <f>K221*(1+L130)</f>
        <v>1987.1999999999996</v>
      </c>
      <c r="M221" s="240">
        <f>L221*(1+M130)</f>
        <v>2081.9686800626969</v>
      </c>
      <c r="N221" s="270">
        <f>M221*(1+N130)</f>
        <v>2181.256836132251</v>
      </c>
    </row>
    <row r="222" spans="1:14" x14ac:dyDescent="0.25">
      <c r="A222" s="36"/>
      <c r="B222" t="s">
        <v>406</v>
      </c>
      <c r="D222" s="18" t="s">
        <v>69</v>
      </c>
      <c r="E222" s="221">
        <f>-'NOI &amp; NDCF'!E27</f>
        <v>914</v>
      </c>
      <c r="F222" s="221">
        <f>-'NOI &amp; NDCF'!F27</f>
        <v>3820</v>
      </c>
      <c r="G222" s="221">
        <f>-'NOI &amp; NDCF'!G27</f>
        <v>6018</v>
      </c>
      <c r="H222" s="221">
        <f>-'NOI &amp; NDCF'!H27</f>
        <v>7207</v>
      </c>
      <c r="I222" s="221">
        <f>-'NOI &amp; NDCF'!I27</f>
        <v>6426</v>
      </c>
      <c r="J222" s="240">
        <f>'Debt Schedule'!J13-J216</f>
        <v>7203.0279875695351</v>
      </c>
      <c r="K222" s="240">
        <f>'Debt Schedule'!K13-K216</f>
        <v>7924.2163669249803</v>
      </c>
      <c r="L222" s="240">
        <f>'Debt Schedule'!L13-L216</f>
        <v>8536.7940354424245</v>
      </c>
      <c r="M222" s="240">
        <f>'Debt Schedule'!M13-M216</f>
        <v>9137.9593143738985</v>
      </c>
      <c r="N222" s="270">
        <f>'Debt Schedule'!N13-N216</f>
        <v>9780.4716211060877</v>
      </c>
    </row>
    <row r="223" spans="1:14" x14ac:dyDescent="0.25">
      <c r="A223" s="36"/>
      <c r="B223" t="s">
        <v>394</v>
      </c>
      <c r="D223" s="18" t="s">
        <v>69</v>
      </c>
      <c r="E223" s="221">
        <f>-'NOI &amp; NDCF'!E28</f>
        <v>212</v>
      </c>
      <c r="F223" s="221">
        <f>-'NOI &amp; NDCF'!F28</f>
        <v>254</v>
      </c>
      <c r="G223" s="221">
        <f>-'NOI &amp; NDCF'!G28</f>
        <v>239</v>
      </c>
      <c r="H223" s="221">
        <f>-'NOI &amp; NDCF'!H28</f>
        <v>238</v>
      </c>
      <c r="I223" s="221">
        <f>-'NOI &amp; NDCF'!I28</f>
        <v>258</v>
      </c>
      <c r="J223" s="240">
        <f>-'NOI &amp; NDCF'!J28</f>
        <v>295.96573777620273</v>
      </c>
      <c r="K223" s="240">
        <f>-'NOI &amp; NDCF'!K28</f>
        <v>304.93512801358821</v>
      </c>
      <c r="L223" s="240">
        <f>-'NOI &amp; NDCF'!L28</f>
        <v>443.39805128840203</v>
      </c>
      <c r="M223" s="240">
        <f>-'NOI &amp; NDCF'!M28</f>
        <v>436.75632925973201</v>
      </c>
      <c r="N223" s="270">
        <f>-'NOI &amp; NDCF'!N28</f>
        <v>489.28568657831977</v>
      </c>
    </row>
    <row r="224" spans="1:14" x14ac:dyDescent="0.25">
      <c r="A224" s="36"/>
      <c r="C224" s="6" t="s">
        <v>405</v>
      </c>
      <c r="D224" s="30" t="s">
        <v>51</v>
      </c>
      <c r="E224" s="224">
        <f t="shared" ref="E224:I224" si="152">E223/E227</f>
        <v>1.1544325854933566E-2</v>
      </c>
      <c r="F224" s="224">
        <f t="shared" si="152"/>
        <v>1.231455444584505E-2</v>
      </c>
      <c r="G224" s="224">
        <f t="shared" si="152"/>
        <v>1.1613781038923174E-2</v>
      </c>
      <c r="H224" s="224">
        <f t="shared" si="152"/>
        <v>1.1771106385083337E-2</v>
      </c>
      <c r="I224" s="224">
        <f t="shared" si="152"/>
        <v>1.1828893677502178E-2</v>
      </c>
      <c r="J224" s="241">
        <f t="shared" ref="J224:N224" si="153">I224</f>
        <v>1.1828893677502178E-2</v>
      </c>
      <c r="K224" s="241">
        <f t="shared" si="153"/>
        <v>1.1828893677502178E-2</v>
      </c>
      <c r="L224" s="241">
        <f t="shared" si="153"/>
        <v>1.1828893677502178E-2</v>
      </c>
      <c r="M224" s="241">
        <f t="shared" si="153"/>
        <v>1.1828893677502178E-2</v>
      </c>
      <c r="N224" s="275">
        <f t="shared" si="153"/>
        <v>1.1828893677502178E-2</v>
      </c>
    </row>
    <row r="225" spans="1:14" x14ac:dyDescent="0.25">
      <c r="A225" s="36"/>
      <c r="B225" t="s">
        <v>395</v>
      </c>
      <c r="D225" s="18" t="s">
        <v>69</v>
      </c>
      <c r="E225" s="221">
        <f>-'NOI &amp; NDCF'!E29</f>
        <v>117</v>
      </c>
      <c r="F225" s="221">
        <f>-'NOI &amp; NDCF'!F29</f>
        <v>102</v>
      </c>
      <c r="G225" s="221">
        <f>-'NOI &amp; NDCF'!G29</f>
        <v>205</v>
      </c>
      <c r="H225" s="221">
        <f>-'NOI &amp; NDCF'!H29</f>
        <v>138</v>
      </c>
      <c r="I225" s="221">
        <f>-'NOI &amp; NDCF'!I29</f>
        <v>240</v>
      </c>
      <c r="J225" s="240">
        <f>J226*'Revenue Schedule'!J27</f>
        <v>237.6994548413463</v>
      </c>
      <c r="K225" s="240">
        <f>K226*'Revenue Schedule'!K27</f>
        <v>256.86736907614676</v>
      </c>
      <c r="L225" s="240">
        <f>L226*'Revenue Schedule'!L27</f>
        <v>341.73838439740416</v>
      </c>
      <c r="M225" s="240">
        <f>M226*'Revenue Schedule'!M27</f>
        <v>356.44510906505639</v>
      </c>
      <c r="N225" s="270">
        <f>N226*'Revenue Schedule'!N27</f>
        <v>386.50436097943742</v>
      </c>
    </row>
    <row r="226" spans="1:14" x14ac:dyDescent="0.25">
      <c r="A226" s="36"/>
      <c r="C226" s="6" t="s">
        <v>409</v>
      </c>
      <c r="D226" s="30" t="s">
        <v>51</v>
      </c>
      <c r="E226" s="224">
        <f>E225/'Revenue Schedule'!E27</f>
        <v>4.9569549891540126E-3</v>
      </c>
      <c r="F226" s="224">
        <f>F225/'Revenue Schedule'!F27</f>
        <v>3.442915947282881E-3</v>
      </c>
      <c r="G226" s="224">
        <f>G225/'Revenue Schedule'!G27</f>
        <v>5.9949531267774669E-3</v>
      </c>
      <c r="H226" s="224">
        <f>H225/'Revenue Schedule'!H27</f>
        <v>3.7447268547387892E-3</v>
      </c>
      <c r="I226" s="224">
        <f>I225/'Revenue Schedule'!I27</f>
        <v>5.9421649089412745E-3</v>
      </c>
      <c r="J226" s="241">
        <f>AVERAGE(G226:I226)</f>
        <v>5.2272816301525103E-3</v>
      </c>
      <c r="K226" s="241">
        <f t="shared" ref="K226:N226" si="154">AVERAGE(H226:J226)</f>
        <v>4.9713911312775248E-3</v>
      </c>
      <c r="L226" s="241">
        <f t="shared" si="154"/>
        <v>5.3802792234571026E-3</v>
      </c>
      <c r="M226" s="241">
        <f t="shared" si="154"/>
        <v>5.192983994962379E-3</v>
      </c>
      <c r="N226" s="275">
        <f t="shared" si="154"/>
        <v>5.1815514498990021E-3</v>
      </c>
    </row>
    <row r="227" spans="1:14" x14ac:dyDescent="0.25">
      <c r="A227" s="125"/>
      <c r="B227" s="45" t="s">
        <v>397</v>
      </c>
      <c r="C227" s="45"/>
      <c r="D227" s="271" t="s">
        <v>69</v>
      </c>
      <c r="E227" s="272">
        <f>'NOI &amp; NDCF'!E33</f>
        <v>18364</v>
      </c>
      <c r="F227" s="272">
        <f>'NOI &amp; NDCF'!F33</f>
        <v>20626</v>
      </c>
      <c r="G227" s="272">
        <f>'NOI &amp; NDCF'!G33</f>
        <v>20579</v>
      </c>
      <c r="H227" s="272">
        <f>'NOI &amp; NDCF'!H33</f>
        <v>20219</v>
      </c>
      <c r="I227" s="272">
        <f>'NOI &amp; NDCF'!I33</f>
        <v>21811</v>
      </c>
      <c r="J227" s="273">
        <f>'NOI &amp; NDCF'!J31</f>
        <v>25020.576382313015</v>
      </c>
      <c r="K227" s="273">
        <f>'NOI &amp; NDCF'!K31</f>
        <v>25778.837508156485</v>
      </c>
      <c r="L227" s="273">
        <f>'NOI &amp; NDCF'!L31</f>
        <v>37484.321304850142</v>
      </c>
      <c r="M227" s="273">
        <f>'NOI &amp; NDCF'!M31</f>
        <v>36922.838362341143</v>
      </c>
      <c r="N227" s="274">
        <f>'NOI &amp; NDCF'!N31</f>
        <v>41363.605077363303</v>
      </c>
    </row>
    <row r="228" spans="1:14" x14ac:dyDescent="0.25">
      <c r="E228" s="221"/>
      <c r="F228" s="221"/>
      <c r="G228" s="221"/>
      <c r="H228" s="221"/>
      <c r="I228" s="221"/>
      <c r="J228" s="221"/>
      <c r="K228" s="221"/>
      <c r="L228" s="221"/>
      <c r="M228" s="221"/>
      <c r="N228" s="221"/>
    </row>
    <row r="229" spans="1:14" x14ac:dyDescent="0.25">
      <c r="E229" s="221"/>
      <c r="F229" s="221"/>
      <c r="G229" s="221"/>
      <c r="H229" s="221"/>
      <c r="I229" s="221"/>
      <c r="J229" s="221"/>
      <c r="K229" s="221"/>
      <c r="L229" s="221"/>
      <c r="M229" s="221"/>
      <c r="N229" s="221"/>
    </row>
    <row r="230" spans="1:14" x14ac:dyDescent="0.25">
      <c r="E230" s="221"/>
      <c r="F230" s="221"/>
      <c r="G230" s="221"/>
      <c r="H230" s="221"/>
      <c r="I230" s="221"/>
      <c r="J230" s="221"/>
      <c r="K230" s="221"/>
      <c r="L230" s="221"/>
      <c r="M230" s="221"/>
      <c r="N230" s="221"/>
    </row>
    <row r="231" spans="1:14" x14ac:dyDescent="0.25">
      <c r="E231" s="221"/>
      <c r="F231" s="221"/>
      <c r="G231" s="221"/>
      <c r="H231" s="221"/>
      <c r="I231" s="221"/>
      <c r="J231" s="221"/>
      <c r="K231" s="221"/>
      <c r="L231" s="221"/>
      <c r="M231" s="221"/>
      <c r="N231" s="221"/>
    </row>
    <row r="232" spans="1:14" x14ac:dyDescent="0.25">
      <c r="E232" s="221"/>
      <c r="F232" s="221"/>
      <c r="G232" s="221"/>
      <c r="H232" s="221"/>
      <c r="I232" s="221"/>
      <c r="J232" s="221"/>
      <c r="K232" s="221"/>
      <c r="L232" s="221"/>
      <c r="M232" s="221"/>
      <c r="N232" s="221"/>
    </row>
    <row r="233" spans="1:14" x14ac:dyDescent="0.25">
      <c r="E233" s="221"/>
      <c r="F233" s="221"/>
      <c r="G233" s="221"/>
      <c r="H233" s="221"/>
      <c r="I233" s="221"/>
      <c r="J233" s="221"/>
      <c r="K233" s="221"/>
      <c r="L233" s="221"/>
      <c r="M233" s="221"/>
      <c r="N233" s="221"/>
    </row>
    <row r="234" spans="1:14" x14ac:dyDescent="0.25">
      <c r="E234" s="221"/>
      <c r="F234" s="221"/>
      <c r="G234" s="221"/>
      <c r="H234" s="221"/>
      <c r="I234" s="221"/>
      <c r="J234" s="221"/>
      <c r="K234" s="221"/>
      <c r="L234" s="221"/>
      <c r="M234" s="221"/>
      <c r="N234" s="221"/>
    </row>
    <row r="235" spans="1:14" x14ac:dyDescent="0.25">
      <c r="E235" s="221"/>
      <c r="F235" s="221"/>
      <c r="G235" s="221"/>
      <c r="H235" s="221"/>
      <c r="I235" s="221"/>
      <c r="J235" s="221"/>
      <c r="K235" s="221"/>
      <c r="L235" s="221"/>
      <c r="M235" s="221"/>
      <c r="N235" s="221"/>
    </row>
    <row r="236" spans="1:14" x14ac:dyDescent="0.25">
      <c r="E236" s="221"/>
      <c r="F236" s="221"/>
      <c r="G236" s="221"/>
      <c r="H236" s="221"/>
      <c r="I236" s="221"/>
      <c r="J236" s="221"/>
      <c r="K236" s="221"/>
      <c r="L236" s="221"/>
      <c r="M236" s="221"/>
      <c r="N236" s="221"/>
    </row>
    <row r="237" spans="1:14" x14ac:dyDescent="0.25">
      <c r="E237" s="221"/>
      <c r="F237" s="221"/>
      <c r="G237" s="221"/>
      <c r="H237" s="221"/>
      <c r="I237" s="221"/>
      <c r="J237" s="221"/>
      <c r="K237" s="221"/>
      <c r="L237" s="221"/>
      <c r="M237" s="221"/>
      <c r="N237" s="221"/>
    </row>
    <row r="238" spans="1:14" x14ac:dyDescent="0.25">
      <c r="E238" s="221"/>
      <c r="F238" s="221"/>
      <c r="G238" s="221"/>
      <c r="H238" s="221"/>
      <c r="I238" s="221"/>
      <c r="J238" s="221"/>
      <c r="K238" s="221"/>
      <c r="L238" s="221"/>
      <c r="M238" s="221"/>
      <c r="N238" s="221"/>
    </row>
    <row r="239" spans="1:14" x14ac:dyDescent="0.25">
      <c r="E239" s="221"/>
      <c r="F239" s="221"/>
      <c r="G239" s="221"/>
      <c r="H239" s="221"/>
      <c r="I239" s="221"/>
      <c r="J239" s="221"/>
      <c r="K239" s="221"/>
      <c r="L239" s="221"/>
      <c r="M239" s="221"/>
      <c r="N239" s="221"/>
    </row>
    <row r="240" spans="1:14" x14ac:dyDescent="0.25">
      <c r="E240" s="221"/>
      <c r="F240" s="221"/>
      <c r="G240" s="221"/>
      <c r="H240" s="221"/>
      <c r="I240" s="221"/>
      <c r="J240" s="221"/>
      <c r="K240" s="221"/>
      <c r="L240" s="221"/>
      <c r="M240" s="221"/>
      <c r="N240" s="221"/>
    </row>
    <row r="241" spans="5:14" x14ac:dyDescent="0.25">
      <c r="E241" s="221"/>
      <c r="F241" s="221"/>
      <c r="G241" s="221"/>
      <c r="H241" s="221"/>
      <c r="I241" s="221"/>
      <c r="J241" s="221"/>
      <c r="K241" s="221"/>
      <c r="L241" s="221"/>
      <c r="M241" s="221"/>
      <c r="N241" s="221"/>
    </row>
    <row r="242" spans="5:14" x14ac:dyDescent="0.25">
      <c r="E242" s="221"/>
      <c r="F242" s="221"/>
      <c r="G242" s="221"/>
      <c r="H242" s="221"/>
      <c r="I242" s="221"/>
      <c r="J242" s="221"/>
      <c r="K242" s="221"/>
      <c r="L242" s="221"/>
      <c r="M242" s="221"/>
      <c r="N242" s="221"/>
    </row>
    <row r="243" spans="5:14" x14ac:dyDescent="0.25">
      <c r="E243" s="221"/>
      <c r="F243" s="221"/>
      <c r="G243" s="221"/>
      <c r="H243" s="221"/>
      <c r="I243" s="221"/>
      <c r="J243" s="221"/>
      <c r="K243" s="221"/>
      <c r="L243" s="221"/>
      <c r="M243" s="221"/>
      <c r="N243" s="221"/>
    </row>
    <row r="244" spans="5:14" x14ac:dyDescent="0.25">
      <c r="E244" s="221"/>
      <c r="F244" s="221"/>
      <c r="G244" s="221"/>
      <c r="H244" s="221"/>
      <c r="I244" s="221"/>
      <c r="J244" s="221"/>
      <c r="K244" s="221"/>
      <c r="L244" s="221"/>
      <c r="M244" s="221"/>
      <c r="N244" s="221"/>
    </row>
    <row r="245" spans="5:14" x14ac:dyDescent="0.25">
      <c r="E245" s="221"/>
      <c r="F245" s="221"/>
      <c r="G245" s="221"/>
      <c r="H245" s="221"/>
      <c r="I245" s="221"/>
      <c r="J245" s="221"/>
      <c r="K245" s="221"/>
      <c r="L245" s="221"/>
      <c r="M245" s="221"/>
      <c r="N245" s="221"/>
    </row>
    <row r="246" spans="5:14" x14ac:dyDescent="0.25">
      <c r="E246" s="221"/>
      <c r="F246" s="221"/>
      <c r="G246" s="221"/>
      <c r="H246" s="221"/>
      <c r="I246" s="221"/>
      <c r="J246" s="221"/>
      <c r="K246" s="221"/>
      <c r="L246" s="221"/>
      <c r="M246" s="221"/>
      <c r="N246" s="221"/>
    </row>
    <row r="247" spans="5:14" x14ac:dyDescent="0.25">
      <c r="E247" s="221"/>
      <c r="F247" s="221"/>
      <c r="G247" s="221"/>
      <c r="H247" s="221"/>
      <c r="I247" s="221"/>
      <c r="J247" s="221"/>
      <c r="K247" s="221"/>
      <c r="L247" s="221"/>
      <c r="M247" s="221"/>
      <c r="N247" s="221"/>
    </row>
    <row r="248" spans="5:14" x14ac:dyDescent="0.25">
      <c r="E248" s="221"/>
      <c r="F248" s="221"/>
      <c r="G248" s="221"/>
      <c r="H248" s="221"/>
      <c r="I248" s="221"/>
      <c r="J248" s="221"/>
      <c r="K248" s="221"/>
      <c r="L248" s="221"/>
      <c r="M248" s="221"/>
      <c r="N248" s="221"/>
    </row>
    <row r="249" spans="5:14" x14ac:dyDescent="0.25">
      <c r="E249" s="221"/>
      <c r="F249" s="221"/>
      <c r="G249" s="221"/>
      <c r="H249" s="221"/>
      <c r="I249" s="221"/>
      <c r="J249" s="221"/>
      <c r="K249" s="221"/>
      <c r="L249" s="221"/>
      <c r="M249" s="221"/>
      <c r="N249" s="221"/>
    </row>
    <row r="250" spans="5:14" x14ac:dyDescent="0.25">
      <c r="E250" s="221"/>
      <c r="F250" s="221"/>
      <c r="G250" s="221"/>
      <c r="H250" s="221"/>
      <c r="I250" s="221"/>
      <c r="J250" s="221"/>
      <c r="K250" s="221"/>
      <c r="L250" s="221"/>
      <c r="M250" s="221"/>
      <c r="N250" s="221"/>
    </row>
    <row r="251" spans="5:14" x14ac:dyDescent="0.25">
      <c r="E251" s="221"/>
      <c r="F251" s="221"/>
      <c r="G251" s="221"/>
      <c r="H251" s="221"/>
      <c r="I251" s="221"/>
      <c r="J251" s="221"/>
      <c r="K251" s="221"/>
      <c r="L251" s="221"/>
      <c r="M251" s="221"/>
      <c r="N251" s="221"/>
    </row>
    <row r="252" spans="5:14" x14ac:dyDescent="0.25">
      <c r="E252" s="221"/>
      <c r="F252" s="221"/>
      <c r="G252" s="221"/>
      <c r="H252" s="221"/>
      <c r="I252" s="221"/>
      <c r="J252" s="221"/>
      <c r="K252" s="221"/>
      <c r="L252" s="221"/>
      <c r="M252" s="221"/>
      <c r="N252" s="221"/>
    </row>
    <row r="253" spans="5:14" x14ac:dyDescent="0.25">
      <c r="E253" s="221"/>
      <c r="F253" s="221"/>
      <c r="G253" s="221"/>
      <c r="H253" s="221"/>
      <c r="I253" s="221"/>
      <c r="J253" s="221"/>
      <c r="K253" s="221"/>
      <c r="L253" s="221"/>
      <c r="M253" s="221"/>
      <c r="N253" s="221"/>
    </row>
    <row r="254" spans="5:14" x14ac:dyDescent="0.25">
      <c r="E254" s="221"/>
      <c r="F254" s="221"/>
      <c r="G254" s="221"/>
      <c r="H254" s="221"/>
      <c r="I254" s="221"/>
      <c r="J254" s="221"/>
      <c r="K254" s="221"/>
      <c r="L254" s="221"/>
      <c r="M254" s="221"/>
      <c r="N254" s="221"/>
    </row>
    <row r="255" spans="5:14" x14ac:dyDescent="0.25">
      <c r="E255" s="221"/>
      <c r="F255" s="221"/>
      <c r="G255" s="221"/>
      <c r="H255" s="221"/>
      <c r="I255" s="221"/>
      <c r="J255" s="221"/>
      <c r="K255" s="221"/>
      <c r="L255" s="221"/>
      <c r="M255" s="221"/>
      <c r="N255" s="221"/>
    </row>
    <row r="256" spans="5:14" x14ac:dyDescent="0.25">
      <c r="E256" s="221"/>
      <c r="F256" s="221"/>
      <c r="G256" s="221"/>
      <c r="H256" s="221"/>
      <c r="I256" s="221"/>
      <c r="J256" s="221"/>
      <c r="K256" s="221"/>
      <c r="L256" s="221"/>
      <c r="M256" s="221"/>
      <c r="N256" s="221"/>
    </row>
    <row r="257" spans="5:14" x14ac:dyDescent="0.25">
      <c r="E257" s="221"/>
      <c r="F257" s="221"/>
      <c r="G257" s="221"/>
      <c r="H257" s="221"/>
      <c r="I257" s="221"/>
      <c r="J257" s="221"/>
      <c r="K257" s="221"/>
      <c r="L257" s="221"/>
      <c r="M257" s="221"/>
      <c r="N257" s="221"/>
    </row>
    <row r="258" spans="5:14" x14ac:dyDescent="0.25">
      <c r="E258" s="221"/>
      <c r="F258" s="221"/>
      <c r="G258" s="221"/>
      <c r="H258" s="221"/>
      <c r="I258" s="221"/>
      <c r="J258" s="221"/>
      <c r="K258" s="221"/>
      <c r="L258" s="221"/>
      <c r="M258" s="221"/>
      <c r="N258" s="221"/>
    </row>
    <row r="259" spans="5:14" x14ac:dyDescent="0.25">
      <c r="E259" s="221"/>
      <c r="F259" s="221"/>
      <c r="G259" s="221"/>
      <c r="H259" s="221"/>
      <c r="I259" s="221"/>
      <c r="J259" s="221"/>
      <c r="K259" s="221"/>
      <c r="L259" s="221"/>
      <c r="M259" s="221"/>
      <c r="N259" s="221"/>
    </row>
    <row r="260" spans="5:14" x14ac:dyDescent="0.25">
      <c r="E260" s="221"/>
      <c r="F260" s="221"/>
      <c r="G260" s="221"/>
      <c r="H260" s="221"/>
      <c r="I260" s="221"/>
      <c r="J260" s="221"/>
      <c r="K260" s="221"/>
      <c r="L260" s="221"/>
      <c r="M260" s="221"/>
      <c r="N260" s="221"/>
    </row>
    <row r="261" spans="5:14" x14ac:dyDescent="0.25">
      <c r="E261" s="221"/>
      <c r="F261" s="221"/>
      <c r="G261" s="221"/>
      <c r="H261" s="221"/>
      <c r="I261" s="221"/>
      <c r="J261" s="221"/>
      <c r="K261" s="221"/>
      <c r="L261" s="221"/>
      <c r="M261" s="221"/>
      <c r="N261" s="221"/>
    </row>
    <row r="262" spans="5:14" x14ac:dyDescent="0.25">
      <c r="E262" s="221"/>
      <c r="F262" s="221"/>
      <c r="G262" s="221"/>
      <c r="H262" s="221"/>
      <c r="I262" s="221"/>
      <c r="J262" s="221"/>
      <c r="K262" s="221"/>
      <c r="L262" s="221"/>
      <c r="M262" s="221"/>
      <c r="N262" s="221"/>
    </row>
    <row r="263" spans="5:14" x14ac:dyDescent="0.25">
      <c r="E263" s="221"/>
      <c r="F263" s="221"/>
      <c r="G263" s="221"/>
      <c r="H263" s="221"/>
      <c r="I263" s="221"/>
      <c r="J263" s="221"/>
      <c r="K263" s="221"/>
      <c r="L263" s="221"/>
      <c r="M263" s="221"/>
      <c r="N263" s="221"/>
    </row>
    <row r="264" spans="5:14" x14ac:dyDescent="0.25">
      <c r="E264" s="221"/>
      <c r="F264" s="221"/>
      <c r="G264" s="221"/>
      <c r="H264" s="221"/>
      <c r="I264" s="221"/>
      <c r="J264" s="221"/>
      <c r="K264" s="221"/>
      <c r="L264" s="221"/>
      <c r="M264" s="221"/>
      <c r="N264" s="221"/>
    </row>
    <row r="265" spans="5:14" x14ac:dyDescent="0.25">
      <c r="E265" s="221"/>
      <c r="F265" s="221"/>
      <c r="G265" s="221"/>
      <c r="H265" s="221"/>
      <c r="I265" s="221"/>
      <c r="J265" s="221"/>
      <c r="K265" s="221"/>
      <c r="L265" s="221"/>
      <c r="M265" s="221"/>
      <c r="N265" s="221"/>
    </row>
    <row r="266" spans="5:14" x14ac:dyDescent="0.25">
      <c r="E266" s="221"/>
      <c r="F266" s="221"/>
      <c r="G266" s="221"/>
      <c r="H266" s="221"/>
      <c r="I266" s="221"/>
      <c r="J266" s="221"/>
      <c r="K266" s="221"/>
      <c r="L266" s="221"/>
      <c r="M266" s="221"/>
      <c r="N266" s="221"/>
    </row>
    <row r="267" spans="5:14" x14ac:dyDescent="0.25">
      <c r="E267" s="221"/>
      <c r="F267" s="221"/>
      <c r="G267" s="221"/>
      <c r="H267" s="221"/>
      <c r="I267" s="221"/>
      <c r="J267" s="221"/>
      <c r="K267" s="221"/>
      <c r="L267" s="221"/>
      <c r="M267" s="221"/>
      <c r="N267" s="221"/>
    </row>
    <row r="268" spans="5:14" x14ac:dyDescent="0.25">
      <c r="E268" s="221"/>
      <c r="F268" s="221"/>
      <c r="G268" s="221"/>
      <c r="H268" s="221"/>
      <c r="I268" s="221"/>
      <c r="J268" s="221"/>
      <c r="K268" s="221"/>
      <c r="L268" s="221"/>
      <c r="M268" s="221"/>
      <c r="N268" s="221"/>
    </row>
    <row r="269" spans="5:14" x14ac:dyDescent="0.25">
      <c r="E269" s="221"/>
      <c r="F269" s="221"/>
      <c r="G269" s="221"/>
      <c r="H269" s="221"/>
      <c r="I269" s="221"/>
      <c r="J269" s="221"/>
      <c r="K269" s="221"/>
      <c r="L269" s="221"/>
      <c r="M269" s="221"/>
      <c r="N269" s="221"/>
    </row>
    <row r="270" spans="5:14" x14ac:dyDescent="0.25">
      <c r="E270" s="221"/>
      <c r="F270" s="221"/>
      <c r="G270" s="221"/>
      <c r="H270" s="221"/>
      <c r="I270" s="221"/>
      <c r="J270" s="221"/>
      <c r="K270" s="221"/>
      <c r="L270" s="221"/>
      <c r="M270" s="221"/>
      <c r="N270" s="221"/>
    </row>
    <row r="271" spans="5:14" x14ac:dyDescent="0.25">
      <c r="E271" s="221"/>
      <c r="F271" s="221"/>
      <c r="G271" s="221"/>
      <c r="H271" s="221"/>
      <c r="I271" s="221"/>
      <c r="J271" s="221"/>
      <c r="K271" s="221"/>
      <c r="L271" s="221"/>
      <c r="M271" s="221"/>
      <c r="N271" s="221"/>
    </row>
    <row r="272" spans="5:14" x14ac:dyDescent="0.25">
      <c r="E272" s="221"/>
      <c r="F272" s="221"/>
      <c r="G272" s="221"/>
      <c r="H272" s="221"/>
      <c r="I272" s="221"/>
      <c r="J272" s="221"/>
      <c r="K272" s="221"/>
      <c r="L272" s="221"/>
      <c r="M272" s="221"/>
      <c r="N272" s="221"/>
    </row>
    <row r="273" spans="5:14" x14ac:dyDescent="0.25">
      <c r="E273" s="221"/>
      <c r="F273" s="221"/>
      <c r="G273" s="221"/>
      <c r="H273" s="221"/>
      <c r="I273" s="221"/>
      <c r="J273" s="221"/>
      <c r="K273" s="221"/>
      <c r="L273" s="221"/>
      <c r="M273" s="221"/>
      <c r="N273" s="221"/>
    </row>
    <row r="274" spans="5:14" x14ac:dyDescent="0.25">
      <c r="E274" s="221"/>
      <c r="F274" s="221"/>
      <c r="G274" s="221"/>
      <c r="H274" s="221"/>
      <c r="I274" s="221"/>
      <c r="J274" s="221"/>
      <c r="K274" s="221"/>
      <c r="L274" s="221"/>
      <c r="M274" s="221"/>
      <c r="N274" s="221"/>
    </row>
    <row r="275" spans="5:14" x14ac:dyDescent="0.25">
      <c r="E275" s="221"/>
      <c r="F275" s="221"/>
      <c r="G275" s="221"/>
      <c r="H275" s="221"/>
      <c r="I275" s="221"/>
      <c r="J275" s="221"/>
      <c r="K275" s="221"/>
      <c r="L275" s="221"/>
      <c r="M275" s="221"/>
      <c r="N275" s="221"/>
    </row>
    <row r="276" spans="5:14" x14ac:dyDescent="0.25">
      <c r="E276" s="221"/>
      <c r="F276" s="221"/>
      <c r="G276" s="221"/>
      <c r="H276" s="221"/>
      <c r="I276" s="221"/>
      <c r="J276" s="221"/>
      <c r="K276" s="221"/>
      <c r="L276" s="221"/>
      <c r="M276" s="221"/>
      <c r="N276" s="221"/>
    </row>
    <row r="277" spans="5:14" x14ac:dyDescent="0.25">
      <c r="E277" s="221"/>
      <c r="F277" s="221"/>
      <c r="G277" s="221"/>
      <c r="H277" s="221"/>
      <c r="I277" s="221"/>
      <c r="J277" s="221"/>
      <c r="K277" s="221"/>
      <c r="L277" s="221"/>
      <c r="M277" s="221"/>
      <c r="N277" s="221"/>
    </row>
    <row r="278" spans="5:14" x14ac:dyDescent="0.25">
      <c r="E278" s="221"/>
      <c r="F278" s="221"/>
      <c r="G278" s="221"/>
      <c r="H278" s="221"/>
      <c r="I278" s="221"/>
      <c r="J278" s="221"/>
      <c r="K278" s="221"/>
      <c r="L278" s="221"/>
      <c r="M278" s="221"/>
      <c r="N278" s="221"/>
    </row>
    <row r="279" spans="5:14" x14ac:dyDescent="0.25">
      <c r="E279" s="221"/>
      <c r="F279" s="221"/>
      <c r="G279" s="221"/>
      <c r="H279" s="221"/>
      <c r="I279" s="221"/>
      <c r="J279" s="221"/>
      <c r="K279" s="221"/>
      <c r="L279" s="221"/>
      <c r="M279" s="221"/>
      <c r="N279" s="221"/>
    </row>
    <row r="280" spans="5:14" x14ac:dyDescent="0.25">
      <c r="E280" s="221"/>
      <c r="F280" s="221"/>
      <c r="G280" s="221"/>
      <c r="H280" s="221"/>
      <c r="I280" s="221"/>
      <c r="J280" s="221"/>
      <c r="K280" s="221"/>
      <c r="L280" s="221"/>
      <c r="M280" s="221"/>
      <c r="N280" s="221"/>
    </row>
    <row r="281" spans="5:14" x14ac:dyDescent="0.25">
      <c r="E281" s="221"/>
      <c r="F281" s="221"/>
      <c r="G281" s="221"/>
      <c r="H281" s="221"/>
      <c r="I281" s="221"/>
      <c r="J281" s="221"/>
      <c r="K281" s="221"/>
      <c r="L281" s="221"/>
      <c r="M281" s="221"/>
      <c r="N281" s="221"/>
    </row>
    <row r="282" spans="5:14" x14ac:dyDescent="0.25">
      <c r="E282" s="221"/>
      <c r="F282" s="221"/>
      <c r="G282" s="221"/>
      <c r="H282" s="221"/>
      <c r="I282" s="221"/>
      <c r="J282" s="221"/>
      <c r="K282" s="221"/>
      <c r="L282" s="221"/>
      <c r="M282" s="221"/>
      <c r="N282" s="221"/>
    </row>
    <row r="283" spans="5:14" x14ac:dyDescent="0.25">
      <c r="E283" s="221"/>
      <c r="F283" s="221"/>
      <c r="G283" s="221"/>
      <c r="H283" s="221"/>
      <c r="I283" s="221"/>
      <c r="J283" s="221"/>
      <c r="K283" s="221"/>
      <c r="L283" s="221"/>
      <c r="M283" s="221"/>
      <c r="N283" s="221"/>
    </row>
    <row r="284" spans="5:14" x14ac:dyDescent="0.25">
      <c r="E284" s="221"/>
      <c r="F284" s="221"/>
      <c r="G284" s="221"/>
      <c r="H284" s="221"/>
      <c r="I284" s="221"/>
      <c r="J284" s="221"/>
      <c r="K284" s="221"/>
      <c r="L284" s="221"/>
      <c r="M284" s="221"/>
      <c r="N284" s="221"/>
    </row>
    <row r="285" spans="5:14" x14ac:dyDescent="0.25">
      <c r="E285" s="221"/>
      <c r="F285" s="221"/>
      <c r="G285" s="221"/>
      <c r="H285" s="221"/>
      <c r="I285" s="221"/>
      <c r="J285" s="221"/>
      <c r="K285" s="221"/>
      <c r="L285" s="221"/>
      <c r="M285" s="221"/>
      <c r="N285" s="221"/>
    </row>
    <row r="286" spans="5:14" x14ac:dyDescent="0.25">
      <c r="E286" s="221"/>
      <c r="F286" s="221"/>
      <c r="G286" s="221"/>
      <c r="H286" s="221"/>
      <c r="I286" s="221"/>
      <c r="J286" s="221"/>
      <c r="K286" s="221"/>
      <c r="L286" s="221"/>
      <c r="M286" s="221"/>
      <c r="N286" s="221"/>
    </row>
    <row r="287" spans="5:14" x14ac:dyDescent="0.25">
      <c r="E287" s="221"/>
      <c r="F287" s="221"/>
      <c r="G287" s="221"/>
      <c r="H287" s="221"/>
      <c r="I287" s="221"/>
      <c r="J287" s="221"/>
      <c r="K287" s="221"/>
      <c r="L287" s="221"/>
      <c r="M287" s="221"/>
      <c r="N287" s="221"/>
    </row>
    <row r="288" spans="5:14" x14ac:dyDescent="0.25">
      <c r="E288" s="221"/>
      <c r="F288" s="221"/>
      <c r="G288" s="221"/>
      <c r="H288" s="221"/>
      <c r="I288" s="221"/>
      <c r="J288" s="221"/>
      <c r="K288" s="221"/>
      <c r="L288" s="221"/>
      <c r="M288" s="221"/>
      <c r="N288" s="221"/>
    </row>
    <row r="289" spans="5:14" x14ac:dyDescent="0.25">
      <c r="E289" s="221"/>
      <c r="F289" s="221"/>
      <c r="G289" s="221"/>
      <c r="H289" s="221"/>
      <c r="I289" s="221"/>
      <c r="J289" s="221"/>
      <c r="K289" s="221"/>
      <c r="L289" s="221"/>
      <c r="M289" s="221"/>
      <c r="N289" s="221"/>
    </row>
    <row r="290" spans="5:14" x14ac:dyDescent="0.25">
      <c r="E290" s="221"/>
      <c r="F290" s="221"/>
      <c r="G290" s="221"/>
      <c r="H290" s="221"/>
      <c r="I290" s="221"/>
      <c r="J290" s="221"/>
      <c r="K290" s="221"/>
      <c r="L290" s="221"/>
      <c r="M290" s="221"/>
      <c r="N290" s="221"/>
    </row>
    <row r="291" spans="5:14" x14ac:dyDescent="0.25">
      <c r="E291" s="221"/>
      <c r="F291" s="221"/>
      <c r="G291" s="221"/>
      <c r="H291" s="221"/>
      <c r="I291" s="221"/>
      <c r="J291" s="221"/>
      <c r="K291" s="221"/>
      <c r="L291" s="221"/>
      <c r="M291" s="221"/>
      <c r="N291" s="221"/>
    </row>
    <row r="292" spans="5:14" x14ac:dyDescent="0.25">
      <c r="E292" s="221"/>
      <c r="F292" s="221"/>
      <c r="G292" s="221"/>
      <c r="H292" s="221"/>
      <c r="I292" s="221"/>
      <c r="J292" s="221"/>
      <c r="K292" s="221"/>
      <c r="L292" s="221"/>
      <c r="M292" s="221"/>
      <c r="N292" s="221"/>
    </row>
    <row r="293" spans="5:14" x14ac:dyDescent="0.25">
      <c r="E293" s="221"/>
      <c r="F293" s="221"/>
      <c r="G293" s="221"/>
      <c r="H293" s="221"/>
      <c r="I293" s="221"/>
      <c r="J293" s="221"/>
      <c r="K293" s="221"/>
      <c r="L293" s="221"/>
      <c r="M293" s="221"/>
      <c r="N293" s="221"/>
    </row>
    <row r="294" spans="5:14" x14ac:dyDescent="0.25">
      <c r="E294" s="221"/>
      <c r="F294" s="221"/>
      <c r="G294" s="221"/>
      <c r="H294" s="221"/>
      <c r="I294" s="221"/>
      <c r="J294" s="221"/>
      <c r="K294" s="221"/>
      <c r="L294" s="221"/>
      <c r="M294" s="221"/>
      <c r="N294" s="221"/>
    </row>
    <row r="295" spans="5:14" x14ac:dyDescent="0.25">
      <c r="E295" s="221"/>
      <c r="F295" s="221"/>
      <c r="G295" s="221"/>
      <c r="H295" s="221"/>
      <c r="I295" s="221"/>
      <c r="J295" s="221"/>
      <c r="K295" s="221"/>
      <c r="L295" s="221"/>
      <c r="M295" s="221"/>
      <c r="N295" s="221"/>
    </row>
    <row r="296" spans="5:14" x14ac:dyDescent="0.25">
      <c r="E296" s="221"/>
      <c r="F296" s="221"/>
      <c r="G296" s="221"/>
      <c r="H296" s="221"/>
      <c r="I296" s="221"/>
      <c r="J296" s="221"/>
      <c r="K296" s="221"/>
      <c r="L296" s="221"/>
      <c r="M296" s="221"/>
      <c r="N296" s="221"/>
    </row>
    <row r="297" spans="5:14" x14ac:dyDescent="0.25">
      <c r="E297" s="221"/>
      <c r="F297" s="221"/>
      <c r="G297" s="221"/>
      <c r="H297" s="221"/>
      <c r="I297" s="221"/>
      <c r="J297" s="221"/>
      <c r="K297" s="221"/>
      <c r="L297" s="221"/>
      <c r="M297" s="221"/>
      <c r="N297" s="221"/>
    </row>
    <row r="298" spans="5:14" x14ac:dyDescent="0.25">
      <c r="E298" s="221"/>
      <c r="F298" s="221"/>
      <c r="G298" s="221"/>
      <c r="H298" s="221"/>
      <c r="I298" s="221"/>
      <c r="J298" s="221"/>
      <c r="K298" s="221"/>
      <c r="L298" s="221"/>
      <c r="M298" s="221"/>
      <c r="N298" s="221"/>
    </row>
    <row r="299" spans="5:14" x14ac:dyDescent="0.25">
      <c r="E299" s="221"/>
      <c r="F299" s="221"/>
      <c r="G299" s="221"/>
      <c r="H299" s="221"/>
      <c r="I299" s="221"/>
      <c r="J299" s="221"/>
      <c r="K299" s="221"/>
      <c r="L299" s="221"/>
      <c r="M299" s="221"/>
      <c r="N299" s="221"/>
    </row>
    <row r="300" spans="5:14" x14ac:dyDescent="0.25">
      <c r="E300" s="221"/>
      <c r="F300" s="221"/>
      <c r="G300" s="221"/>
      <c r="H300" s="221"/>
      <c r="I300" s="221"/>
      <c r="J300" s="221"/>
      <c r="K300" s="221"/>
      <c r="L300" s="221"/>
      <c r="M300" s="221"/>
      <c r="N300" s="221"/>
    </row>
    <row r="301" spans="5:14" x14ac:dyDescent="0.25">
      <c r="E301" s="221"/>
      <c r="F301" s="221"/>
      <c r="G301" s="221"/>
      <c r="H301" s="221"/>
      <c r="I301" s="221"/>
      <c r="J301" s="221"/>
      <c r="K301" s="221"/>
      <c r="L301" s="221"/>
      <c r="M301" s="221"/>
      <c r="N301" s="221"/>
    </row>
    <row r="302" spans="5:14" x14ac:dyDescent="0.25">
      <c r="E302" s="221"/>
      <c r="F302" s="221"/>
      <c r="G302" s="221"/>
      <c r="H302" s="221"/>
      <c r="I302" s="221"/>
      <c r="J302" s="221"/>
      <c r="K302" s="221"/>
      <c r="L302" s="221"/>
      <c r="M302" s="221"/>
      <c r="N302" s="221"/>
    </row>
    <row r="303" spans="5:14" x14ac:dyDescent="0.25">
      <c r="E303" s="221"/>
      <c r="F303" s="221"/>
      <c r="G303" s="221"/>
      <c r="H303" s="221"/>
      <c r="I303" s="221"/>
      <c r="J303" s="221"/>
      <c r="K303" s="221"/>
      <c r="L303" s="221"/>
      <c r="M303" s="221"/>
      <c r="N303" s="221"/>
    </row>
    <row r="304" spans="5:14" x14ac:dyDescent="0.25">
      <c r="E304" s="221"/>
      <c r="F304" s="221"/>
      <c r="G304" s="221"/>
      <c r="H304" s="221"/>
      <c r="I304" s="221"/>
      <c r="J304" s="221"/>
      <c r="K304" s="221"/>
      <c r="L304" s="221"/>
      <c r="M304" s="221"/>
      <c r="N304" s="221"/>
    </row>
    <row r="305" spans="5:14" x14ac:dyDescent="0.25">
      <c r="E305" s="221"/>
      <c r="F305" s="221"/>
      <c r="G305" s="221"/>
      <c r="H305" s="221"/>
      <c r="I305" s="221"/>
      <c r="J305" s="221"/>
      <c r="K305" s="221"/>
      <c r="L305" s="221"/>
      <c r="M305" s="221"/>
      <c r="N305" s="221"/>
    </row>
    <row r="306" spans="5:14" x14ac:dyDescent="0.25">
      <c r="E306" s="221"/>
      <c r="F306" s="221"/>
      <c r="G306" s="221"/>
      <c r="H306" s="221"/>
      <c r="I306" s="221"/>
      <c r="J306" s="221"/>
      <c r="K306" s="221"/>
      <c r="L306" s="221"/>
      <c r="M306" s="221"/>
      <c r="N306" s="221"/>
    </row>
    <row r="307" spans="5:14" x14ac:dyDescent="0.25">
      <c r="E307" s="221"/>
      <c r="F307" s="221"/>
      <c r="G307" s="221"/>
      <c r="H307" s="221"/>
      <c r="I307" s="221"/>
      <c r="J307" s="221"/>
      <c r="K307" s="221"/>
      <c r="L307" s="221"/>
      <c r="M307" s="221"/>
      <c r="N307" s="221"/>
    </row>
    <row r="308" spans="5:14" x14ac:dyDescent="0.25">
      <c r="E308" s="221"/>
      <c r="F308" s="221"/>
      <c r="G308" s="221"/>
      <c r="H308" s="221"/>
      <c r="I308" s="221"/>
      <c r="J308" s="221"/>
      <c r="K308" s="221"/>
      <c r="L308" s="221"/>
      <c r="M308" s="221"/>
      <c r="N308" s="221"/>
    </row>
    <row r="309" spans="5:14" x14ac:dyDescent="0.25">
      <c r="E309" s="221"/>
      <c r="F309" s="221"/>
      <c r="G309" s="221"/>
      <c r="H309" s="221"/>
      <c r="I309" s="221"/>
      <c r="J309" s="221"/>
      <c r="K309" s="221"/>
      <c r="L309" s="221"/>
      <c r="M309" s="221"/>
      <c r="N309" s="221"/>
    </row>
    <row r="310" spans="5:14" x14ac:dyDescent="0.25">
      <c r="E310" s="221"/>
      <c r="F310" s="221"/>
      <c r="G310" s="221"/>
      <c r="H310" s="221"/>
      <c r="I310" s="221"/>
      <c r="J310" s="221"/>
      <c r="K310" s="221"/>
      <c r="L310" s="221"/>
      <c r="M310" s="221"/>
      <c r="N310" s="221"/>
    </row>
    <row r="311" spans="5:14" x14ac:dyDescent="0.25">
      <c r="E311" s="221"/>
      <c r="F311" s="221"/>
      <c r="G311" s="221"/>
      <c r="H311" s="221"/>
      <c r="I311" s="221"/>
      <c r="J311" s="221"/>
      <c r="K311" s="221"/>
      <c r="L311" s="221"/>
      <c r="M311" s="221"/>
      <c r="N311" s="221"/>
    </row>
    <row r="312" spans="5:14" x14ac:dyDescent="0.25">
      <c r="E312" s="221"/>
      <c r="F312" s="221"/>
      <c r="G312" s="221"/>
      <c r="H312" s="221"/>
      <c r="I312" s="221"/>
      <c r="J312" s="221"/>
      <c r="K312" s="221"/>
      <c r="L312" s="221"/>
      <c r="M312" s="221"/>
      <c r="N312" s="221"/>
    </row>
    <row r="313" spans="5:14" x14ac:dyDescent="0.25">
      <c r="E313" s="221"/>
      <c r="F313" s="221"/>
      <c r="G313" s="221"/>
      <c r="H313" s="221"/>
      <c r="I313" s="221"/>
      <c r="J313" s="221"/>
      <c r="K313" s="221"/>
      <c r="L313" s="221"/>
      <c r="M313" s="221"/>
      <c r="N313" s="221"/>
    </row>
    <row r="314" spans="5:14" x14ac:dyDescent="0.25">
      <c r="E314" s="221"/>
      <c r="F314" s="221"/>
      <c r="G314" s="221"/>
      <c r="H314" s="221"/>
      <c r="I314" s="221"/>
      <c r="J314" s="221"/>
      <c r="K314" s="221"/>
      <c r="L314" s="221"/>
      <c r="M314" s="221"/>
      <c r="N314" s="221"/>
    </row>
    <row r="315" spans="5:14" x14ac:dyDescent="0.25">
      <c r="E315" s="221"/>
      <c r="F315" s="221"/>
      <c r="G315" s="221"/>
      <c r="H315" s="221"/>
      <c r="I315" s="221"/>
      <c r="J315" s="221"/>
      <c r="K315" s="221"/>
      <c r="L315" s="221"/>
      <c r="M315" s="221"/>
      <c r="N315" s="221"/>
    </row>
    <row r="316" spans="5:14" x14ac:dyDescent="0.25">
      <c r="E316" s="221"/>
      <c r="F316" s="221"/>
      <c r="G316" s="221"/>
      <c r="H316" s="221"/>
      <c r="I316" s="221"/>
      <c r="J316" s="221"/>
      <c r="K316" s="221"/>
      <c r="L316" s="221"/>
      <c r="M316" s="221"/>
      <c r="N316" s="221"/>
    </row>
    <row r="317" spans="5:14" x14ac:dyDescent="0.25">
      <c r="E317" s="221"/>
      <c r="F317" s="221"/>
      <c r="G317" s="221"/>
      <c r="H317" s="221"/>
      <c r="I317" s="221"/>
      <c r="J317" s="221"/>
      <c r="K317" s="221"/>
      <c r="L317" s="221"/>
      <c r="M317" s="221"/>
      <c r="N317" s="221"/>
    </row>
    <row r="318" spans="5:14" x14ac:dyDescent="0.25">
      <c r="E318" s="221"/>
      <c r="F318" s="221"/>
      <c r="G318" s="221"/>
      <c r="H318" s="221"/>
      <c r="I318" s="221"/>
      <c r="J318" s="221"/>
      <c r="K318" s="221"/>
      <c r="L318" s="221"/>
      <c r="M318" s="221"/>
      <c r="N318" s="221"/>
    </row>
    <row r="319" spans="5:14" x14ac:dyDescent="0.25">
      <c r="E319" s="221"/>
      <c r="F319" s="221"/>
      <c r="G319" s="221"/>
      <c r="H319" s="221"/>
      <c r="I319" s="221"/>
      <c r="J319" s="221"/>
      <c r="K319" s="221"/>
      <c r="L319" s="221"/>
      <c r="M319" s="221"/>
      <c r="N319" s="221"/>
    </row>
    <row r="320" spans="5:14" x14ac:dyDescent="0.25">
      <c r="E320" s="221"/>
      <c r="F320" s="221"/>
      <c r="G320" s="221"/>
      <c r="H320" s="221"/>
      <c r="I320" s="221"/>
      <c r="J320" s="221"/>
      <c r="K320" s="221"/>
      <c r="L320" s="221"/>
      <c r="M320" s="221"/>
      <c r="N320" s="221"/>
    </row>
    <row r="321" spans="5:14" x14ac:dyDescent="0.25">
      <c r="E321" s="221"/>
      <c r="F321" s="221"/>
      <c r="G321" s="221"/>
      <c r="H321" s="221"/>
      <c r="I321" s="221"/>
      <c r="J321" s="221"/>
      <c r="K321" s="221"/>
      <c r="L321" s="221"/>
      <c r="M321" s="221"/>
      <c r="N321" s="221"/>
    </row>
    <row r="322" spans="5:14" x14ac:dyDescent="0.25">
      <c r="E322" s="221"/>
      <c r="F322" s="221"/>
      <c r="G322" s="221"/>
      <c r="H322" s="221"/>
      <c r="I322" s="221"/>
      <c r="J322" s="221"/>
      <c r="K322" s="221"/>
      <c r="L322" s="221"/>
      <c r="M322" s="221"/>
      <c r="N322" s="221"/>
    </row>
    <row r="323" spans="5:14" x14ac:dyDescent="0.25">
      <c r="E323" s="221"/>
      <c r="F323" s="221"/>
      <c r="G323" s="221"/>
      <c r="H323" s="221"/>
      <c r="I323" s="221"/>
      <c r="J323" s="221"/>
      <c r="K323" s="221"/>
      <c r="L323" s="221"/>
      <c r="M323" s="221"/>
      <c r="N323" s="221"/>
    </row>
    <row r="324" spans="5:14" x14ac:dyDescent="0.25">
      <c r="E324" s="221"/>
      <c r="F324" s="221"/>
      <c r="G324" s="221"/>
      <c r="H324" s="221"/>
      <c r="I324" s="221"/>
      <c r="J324" s="221"/>
      <c r="K324" s="221"/>
      <c r="L324" s="221"/>
      <c r="M324" s="221"/>
      <c r="N324" s="221"/>
    </row>
    <row r="325" spans="5:14" x14ac:dyDescent="0.25">
      <c r="E325" s="221"/>
      <c r="F325" s="221"/>
      <c r="G325" s="221"/>
      <c r="H325" s="221"/>
      <c r="I325" s="221"/>
      <c r="J325" s="221"/>
      <c r="K325" s="221"/>
      <c r="L325" s="221"/>
      <c r="M325" s="221"/>
      <c r="N325" s="221"/>
    </row>
    <row r="326" spans="5:14" x14ac:dyDescent="0.25">
      <c r="E326" s="221"/>
      <c r="F326" s="221"/>
      <c r="G326" s="221"/>
      <c r="H326" s="221"/>
      <c r="I326" s="221"/>
      <c r="J326" s="221"/>
      <c r="K326" s="221"/>
      <c r="L326" s="221"/>
      <c r="M326" s="221"/>
      <c r="N326" s="221"/>
    </row>
    <row r="327" spans="5:14" x14ac:dyDescent="0.25">
      <c r="E327" s="221"/>
      <c r="F327" s="221"/>
      <c r="G327" s="221"/>
      <c r="H327" s="221"/>
      <c r="I327" s="221"/>
      <c r="J327" s="221"/>
      <c r="K327" s="221"/>
      <c r="L327" s="221"/>
      <c r="M327" s="221"/>
      <c r="N327" s="221"/>
    </row>
    <row r="328" spans="5:14" x14ac:dyDescent="0.25">
      <c r="E328" s="221"/>
      <c r="F328" s="221"/>
      <c r="G328" s="221"/>
      <c r="H328" s="221"/>
      <c r="I328" s="221"/>
      <c r="J328" s="221"/>
      <c r="K328" s="221"/>
      <c r="L328" s="221"/>
      <c r="M328" s="221"/>
      <c r="N328" s="221"/>
    </row>
    <row r="329" spans="5:14" x14ac:dyDescent="0.25">
      <c r="E329" s="221"/>
      <c r="F329" s="221"/>
      <c r="G329" s="221"/>
      <c r="H329" s="221"/>
      <c r="I329" s="221"/>
      <c r="J329" s="221"/>
      <c r="K329" s="221"/>
      <c r="L329" s="221"/>
      <c r="M329" s="221"/>
      <c r="N329" s="221"/>
    </row>
    <row r="330" spans="5:14" x14ac:dyDescent="0.25">
      <c r="E330" s="221"/>
      <c r="F330" s="221"/>
      <c r="G330" s="221"/>
      <c r="H330" s="221"/>
      <c r="I330" s="221"/>
      <c r="J330" s="221"/>
      <c r="K330" s="221"/>
      <c r="L330" s="221"/>
      <c r="M330" s="221"/>
      <c r="N330" s="221"/>
    </row>
    <row r="331" spans="5:14" x14ac:dyDescent="0.25">
      <c r="E331" s="221"/>
      <c r="F331" s="221"/>
      <c r="G331" s="221"/>
      <c r="H331" s="221"/>
      <c r="I331" s="221"/>
      <c r="J331" s="221"/>
      <c r="K331" s="221"/>
      <c r="L331" s="221"/>
      <c r="M331" s="221"/>
      <c r="N331" s="221"/>
    </row>
    <row r="332" spans="5:14" x14ac:dyDescent="0.25">
      <c r="E332" s="221"/>
      <c r="F332" s="221"/>
      <c r="G332" s="221"/>
      <c r="H332" s="221"/>
      <c r="I332" s="221"/>
      <c r="J332" s="221"/>
      <c r="K332" s="221"/>
      <c r="L332" s="221"/>
      <c r="M332" s="221"/>
      <c r="N332" s="221"/>
    </row>
    <row r="333" spans="5:14" x14ac:dyDescent="0.25">
      <c r="E333" s="221"/>
      <c r="F333" s="221"/>
      <c r="G333" s="221"/>
      <c r="H333" s="221"/>
      <c r="I333" s="221"/>
      <c r="J333" s="221"/>
      <c r="K333" s="221"/>
      <c r="L333" s="221"/>
      <c r="M333" s="221"/>
      <c r="N333" s="221"/>
    </row>
    <row r="334" spans="5:14" x14ac:dyDescent="0.25">
      <c r="E334" s="221"/>
      <c r="F334" s="221"/>
      <c r="G334" s="221"/>
      <c r="H334" s="221"/>
      <c r="I334" s="221"/>
      <c r="J334" s="221"/>
      <c r="K334" s="221"/>
      <c r="L334" s="221"/>
      <c r="M334" s="221"/>
      <c r="N334" s="221"/>
    </row>
    <row r="335" spans="5:14" x14ac:dyDescent="0.25">
      <c r="E335" s="221"/>
      <c r="F335" s="221"/>
      <c r="G335" s="221"/>
      <c r="H335" s="221"/>
      <c r="I335" s="221"/>
      <c r="J335" s="221"/>
      <c r="K335" s="221"/>
      <c r="L335" s="221"/>
      <c r="M335" s="221"/>
      <c r="N335" s="221"/>
    </row>
    <row r="336" spans="5:14" x14ac:dyDescent="0.25">
      <c r="E336" s="221"/>
      <c r="F336" s="221"/>
      <c r="G336" s="221"/>
      <c r="H336" s="221"/>
      <c r="I336" s="221"/>
      <c r="J336" s="221"/>
      <c r="K336" s="221"/>
      <c r="L336" s="221"/>
      <c r="M336" s="221"/>
      <c r="N336" s="221"/>
    </row>
    <row r="337" spans="5:14" x14ac:dyDescent="0.25">
      <c r="E337" s="221"/>
      <c r="F337" s="221"/>
      <c r="G337" s="221"/>
      <c r="H337" s="221"/>
      <c r="I337" s="221"/>
      <c r="J337" s="221"/>
      <c r="K337" s="221"/>
      <c r="L337" s="221"/>
      <c r="M337" s="221"/>
      <c r="N337" s="221"/>
    </row>
    <row r="338" spans="5:14" x14ac:dyDescent="0.25">
      <c r="E338" s="221"/>
      <c r="F338" s="221"/>
      <c r="G338" s="221"/>
      <c r="H338" s="221"/>
      <c r="I338" s="221"/>
      <c r="J338" s="221"/>
      <c r="K338" s="221"/>
      <c r="L338" s="221"/>
      <c r="M338" s="221"/>
      <c r="N338" s="221"/>
    </row>
    <row r="339" spans="5:14" x14ac:dyDescent="0.25">
      <c r="E339" s="221"/>
      <c r="F339" s="221"/>
      <c r="G339" s="221"/>
      <c r="H339" s="221"/>
      <c r="I339" s="221"/>
      <c r="J339" s="221"/>
      <c r="K339" s="221"/>
      <c r="L339" s="221"/>
      <c r="M339" s="221"/>
      <c r="N339" s="221"/>
    </row>
    <row r="340" spans="5:14" x14ac:dyDescent="0.25">
      <c r="E340" s="221"/>
      <c r="F340" s="221"/>
      <c r="G340" s="221"/>
      <c r="H340" s="221"/>
      <c r="I340" s="221"/>
      <c r="J340" s="221"/>
      <c r="K340" s="221"/>
      <c r="L340" s="221"/>
      <c r="M340" s="221"/>
      <c r="N340" s="221"/>
    </row>
    <row r="341" spans="5:14" x14ac:dyDescent="0.25">
      <c r="E341" s="221"/>
      <c r="F341" s="221"/>
      <c r="G341" s="221"/>
      <c r="H341" s="221"/>
      <c r="I341" s="221"/>
      <c r="J341" s="221"/>
      <c r="K341" s="221"/>
      <c r="L341" s="221"/>
      <c r="M341" s="221"/>
      <c r="N341" s="221"/>
    </row>
    <row r="342" spans="5:14" x14ac:dyDescent="0.25">
      <c r="E342" s="221"/>
      <c r="F342" s="221"/>
      <c r="G342" s="221"/>
      <c r="H342" s="221"/>
      <c r="I342" s="221"/>
      <c r="J342" s="221"/>
      <c r="K342" s="221"/>
      <c r="L342" s="221"/>
      <c r="M342" s="221"/>
      <c r="N342" s="221"/>
    </row>
    <row r="343" spans="5:14" x14ac:dyDescent="0.25">
      <c r="E343" s="221"/>
      <c r="F343" s="221"/>
      <c r="G343" s="221"/>
      <c r="H343" s="221"/>
      <c r="I343" s="221"/>
      <c r="J343" s="221"/>
      <c r="K343" s="221"/>
      <c r="L343" s="221"/>
      <c r="M343" s="221"/>
      <c r="N343" s="221"/>
    </row>
    <row r="344" spans="5:14" x14ac:dyDescent="0.25">
      <c r="E344" s="221"/>
      <c r="F344" s="221"/>
      <c r="G344" s="221"/>
      <c r="H344" s="221"/>
      <c r="I344" s="221"/>
      <c r="J344" s="221"/>
      <c r="K344" s="221"/>
      <c r="L344" s="221"/>
      <c r="M344" s="221"/>
      <c r="N344" s="221"/>
    </row>
    <row r="345" spans="5:14" x14ac:dyDescent="0.25">
      <c r="E345" s="221"/>
      <c r="F345" s="221"/>
      <c r="G345" s="221"/>
      <c r="H345" s="221"/>
      <c r="I345" s="221"/>
      <c r="J345" s="221"/>
      <c r="K345" s="221"/>
      <c r="L345" s="221"/>
      <c r="M345" s="221"/>
      <c r="N345" s="221"/>
    </row>
    <row r="346" spans="5:14" x14ac:dyDescent="0.25">
      <c r="E346" s="221"/>
      <c r="F346" s="221"/>
      <c r="G346" s="221"/>
      <c r="H346" s="221"/>
      <c r="I346" s="221"/>
      <c r="J346" s="221"/>
      <c r="K346" s="221"/>
      <c r="L346" s="221"/>
      <c r="M346" s="221"/>
      <c r="N346" s="221"/>
    </row>
    <row r="347" spans="5:14" x14ac:dyDescent="0.25">
      <c r="E347" s="221"/>
      <c r="F347" s="221"/>
      <c r="G347" s="221"/>
      <c r="H347" s="221"/>
      <c r="I347" s="221"/>
      <c r="J347" s="221"/>
      <c r="K347" s="221"/>
      <c r="L347" s="221"/>
      <c r="M347" s="221"/>
      <c r="N347" s="221"/>
    </row>
    <row r="348" spans="5:14" x14ac:dyDescent="0.25">
      <c r="E348" s="221"/>
      <c r="F348" s="221"/>
      <c r="G348" s="221"/>
      <c r="H348" s="221"/>
      <c r="I348" s="221"/>
      <c r="J348" s="221"/>
      <c r="K348" s="221"/>
      <c r="L348" s="221"/>
      <c r="M348" s="221"/>
      <c r="N348" s="221"/>
    </row>
    <row r="349" spans="5:14" x14ac:dyDescent="0.25">
      <c r="E349" s="221"/>
      <c r="F349" s="221"/>
      <c r="G349" s="221"/>
      <c r="H349" s="221"/>
      <c r="I349" s="221"/>
      <c r="J349" s="221"/>
      <c r="K349" s="221"/>
      <c r="L349" s="221"/>
      <c r="M349" s="221"/>
      <c r="N349" s="221"/>
    </row>
    <row r="350" spans="5:14" x14ac:dyDescent="0.25">
      <c r="E350" s="221"/>
      <c r="F350" s="221"/>
      <c r="G350" s="221"/>
      <c r="H350" s="221"/>
      <c r="I350" s="221"/>
      <c r="J350" s="221"/>
      <c r="K350" s="221"/>
      <c r="L350" s="221"/>
      <c r="M350" s="221"/>
      <c r="N350" s="221"/>
    </row>
    <row r="351" spans="5:14" x14ac:dyDescent="0.25">
      <c r="E351" s="221"/>
      <c r="F351" s="221"/>
      <c r="G351" s="221"/>
      <c r="H351" s="221"/>
      <c r="I351" s="221"/>
      <c r="J351" s="221"/>
      <c r="K351" s="221"/>
      <c r="L351" s="221"/>
      <c r="M351" s="221"/>
      <c r="N351" s="221"/>
    </row>
    <row r="352" spans="5:14" x14ac:dyDescent="0.25">
      <c r="E352" s="221"/>
      <c r="F352" s="221"/>
      <c r="G352" s="221"/>
      <c r="H352" s="221"/>
      <c r="I352" s="221"/>
      <c r="J352" s="221"/>
      <c r="K352" s="221"/>
      <c r="L352" s="221"/>
      <c r="M352" s="221"/>
      <c r="N352" s="221"/>
    </row>
    <row r="353" spans="5:14" x14ac:dyDescent="0.25">
      <c r="E353" s="221"/>
      <c r="F353" s="221"/>
      <c r="G353" s="221"/>
      <c r="H353" s="221"/>
      <c r="I353" s="221"/>
      <c r="J353" s="221"/>
      <c r="K353" s="221"/>
      <c r="L353" s="221"/>
      <c r="M353" s="221"/>
      <c r="N353" s="221"/>
    </row>
    <row r="354" spans="5:14" x14ac:dyDescent="0.25">
      <c r="E354" s="221"/>
      <c r="F354" s="221"/>
      <c r="G354" s="221"/>
      <c r="H354" s="221"/>
      <c r="I354" s="221"/>
      <c r="J354" s="221"/>
      <c r="K354" s="221"/>
      <c r="L354" s="221"/>
      <c r="M354" s="221"/>
      <c r="N354" s="221"/>
    </row>
    <row r="355" spans="5:14" x14ac:dyDescent="0.25">
      <c r="E355" s="221"/>
      <c r="F355" s="221"/>
      <c r="G355" s="221"/>
      <c r="H355" s="221"/>
      <c r="I355" s="221"/>
      <c r="J355" s="221"/>
      <c r="K355" s="221"/>
      <c r="L355" s="221"/>
      <c r="M355" s="221"/>
      <c r="N355" s="221"/>
    </row>
    <row r="356" spans="5:14" x14ac:dyDescent="0.25">
      <c r="E356" s="221"/>
      <c r="F356" s="221"/>
      <c r="G356" s="221"/>
      <c r="H356" s="221"/>
      <c r="I356" s="221"/>
      <c r="J356" s="221"/>
      <c r="K356" s="221"/>
      <c r="L356" s="221"/>
      <c r="M356" s="221"/>
      <c r="N356" s="221"/>
    </row>
    <row r="357" spans="5:14" x14ac:dyDescent="0.25">
      <c r="E357" s="221"/>
      <c r="F357" s="221"/>
      <c r="G357" s="221"/>
      <c r="H357" s="221"/>
      <c r="I357" s="221"/>
      <c r="J357" s="221"/>
      <c r="K357" s="221"/>
      <c r="L357" s="221"/>
      <c r="M357" s="221"/>
      <c r="N357" s="221"/>
    </row>
    <row r="358" spans="5:14" x14ac:dyDescent="0.25">
      <c r="E358" s="221"/>
      <c r="F358" s="221"/>
      <c r="G358" s="221"/>
      <c r="H358" s="221"/>
      <c r="I358" s="221"/>
      <c r="J358" s="221"/>
      <c r="K358" s="221"/>
      <c r="L358" s="221"/>
      <c r="M358" s="221"/>
      <c r="N358" s="221"/>
    </row>
    <row r="359" spans="5:14" x14ac:dyDescent="0.25">
      <c r="E359" s="221"/>
      <c r="F359" s="221"/>
      <c r="G359" s="221"/>
      <c r="H359" s="221"/>
      <c r="I359" s="221"/>
      <c r="J359" s="221"/>
      <c r="K359" s="221"/>
      <c r="L359" s="221"/>
      <c r="M359" s="221"/>
      <c r="N359" s="221"/>
    </row>
    <row r="360" spans="5:14" x14ac:dyDescent="0.25">
      <c r="E360" s="221"/>
      <c r="F360" s="221"/>
      <c r="G360" s="221"/>
      <c r="H360" s="221"/>
      <c r="I360" s="221"/>
      <c r="J360" s="221"/>
      <c r="K360" s="221"/>
      <c r="L360" s="221"/>
      <c r="M360" s="221"/>
      <c r="N360" s="221"/>
    </row>
    <row r="361" spans="5:14" x14ac:dyDescent="0.25">
      <c r="E361" s="221"/>
      <c r="F361" s="221"/>
      <c r="G361" s="221"/>
      <c r="H361" s="221"/>
      <c r="I361" s="221"/>
      <c r="J361" s="221"/>
      <c r="K361" s="221"/>
      <c r="L361" s="221"/>
      <c r="M361" s="221"/>
      <c r="N361" s="221"/>
    </row>
    <row r="362" spans="5:14" x14ac:dyDescent="0.25">
      <c r="E362" s="221"/>
      <c r="F362" s="221"/>
      <c r="G362" s="221"/>
      <c r="H362" s="221"/>
      <c r="I362" s="221"/>
      <c r="J362" s="221"/>
      <c r="K362" s="221"/>
      <c r="L362" s="221"/>
      <c r="M362" s="221"/>
      <c r="N362" s="221"/>
    </row>
    <row r="363" spans="5:14" x14ac:dyDescent="0.25">
      <c r="E363" s="221"/>
      <c r="F363" s="221"/>
      <c r="G363" s="221"/>
      <c r="H363" s="221"/>
      <c r="I363" s="221"/>
      <c r="J363" s="221"/>
      <c r="K363" s="221"/>
      <c r="L363" s="221"/>
      <c r="M363" s="221"/>
      <c r="N363" s="221"/>
    </row>
    <row r="364" spans="5:14" x14ac:dyDescent="0.25">
      <c r="E364" s="221"/>
      <c r="F364" s="221"/>
      <c r="G364" s="221"/>
      <c r="H364" s="221"/>
      <c r="I364" s="221"/>
      <c r="J364" s="221"/>
      <c r="K364" s="221"/>
      <c r="L364" s="221"/>
      <c r="M364" s="221"/>
      <c r="N364" s="221"/>
    </row>
    <row r="365" spans="5:14" x14ac:dyDescent="0.25">
      <c r="E365" s="221"/>
      <c r="F365" s="221"/>
      <c r="G365" s="221"/>
      <c r="H365" s="221"/>
      <c r="I365" s="221"/>
      <c r="J365" s="221"/>
      <c r="K365" s="221"/>
      <c r="L365" s="221"/>
      <c r="M365" s="221"/>
      <c r="N365" s="221"/>
    </row>
    <row r="366" spans="5:14" x14ac:dyDescent="0.25">
      <c r="E366" s="221"/>
      <c r="F366" s="221"/>
      <c r="G366" s="221"/>
      <c r="H366" s="221"/>
      <c r="I366" s="221"/>
      <c r="J366" s="221"/>
      <c r="K366" s="221"/>
      <c r="L366" s="221"/>
      <c r="M366" s="221"/>
      <c r="N366" s="221"/>
    </row>
    <row r="367" spans="5:14" x14ac:dyDescent="0.25">
      <c r="E367" s="221"/>
      <c r="F367" s="221"/>
      <c r="G367" s="221"/>
      <c r="H367" s="221"/>
      <c r="I367" s="221"/>
      <c r="J367" s="221"/>
      <c r="K367" s="221"/>
      <c r="L367" s="221"/>
      <c r="M367" s="221"/>
      <c r="N367" s="221"/>
    </row>
    <row r="368" spans="5:14" x14ac:dyDescent="0.25">
      <c r="E368" s="221"/>
      <c r="F368" s="221"/>
      <c r="G368" s="221"/>
      <c r="H368" s="221"/>
      <c r="I368" s="221"/>
      <c r="J368" s="221"/>
      <c r="K368" s="221"/>
      <c r="L368" s="221"/>
      <c r="M368" s="221"/>
      <c r="N368" s="221"/>
    </row>
    <row r="369" spans="5:14" x14ac:dyDescent="0.25">
      <c r="E369" s="221"/>
      <c r="F369" s="221"/>
      <c r="G369" s="221"/>
      <c r="H369" s="221"/>
      <c r="I369" s="221"/>
      <c r="J369" s="221"/>
      <c r="K369" s="221"/>
      <c r="L369" s="221"/>
      <c r="M369" s="221"/>
      <c r="N369" s="221"/>
    </row>
    <row r="370" spans="5:14" x14ac:dyDescent="0.25">
      <c r="E370" s="221"/>
      <c r="F370" s="221"/>
      <c r="G370" s="221"/>
      <c r="H370" s="221"/>
      <c r="I370" s="221"/>
      <c r="J370" s="221"/>
      <c r="K370" s="221"/>
      <c r="L370" s="221"/>
      <c r="M370" s="221"/>
      <c r="N370" s="221"/>
    </row>
    <row r="371" spans="5:14" x14ac:dyDescent="0.25">
      <c r="E371" s="221"/>
      <c r="F371" s="221"/>
      <c r="G371" s="221"/>
      <c r="H371" s="221"/>
      <c r="I371" s="221"/>
      <c r="J371" s="221"/>
      <c r="K371" s="221"/>
      <c r="L371" s="221"/>
      <c r="M371" s="221"/>
      <c r="N371" s="221"/>
    </row>
    <row r="372" spans="5:14" x14ac:dyDescent="0.25">
      <c r="E372" s="221"/>
      <c r="F372" s="221"/>
      <c r="G372" s="221"/>
      <c r="H372" s="221"/>
      <c r="I372" s="221"/>
      <c r="J372" s="221"/>
      <c r="K372" s="221"/>
      <c r="L372" s="221"/>
      <c r="M372" s="221"/>
      <c r="N372" s="221"/>
    </row>
    <row r="373" spans="5:14" x14ac:dyDescent="0.25">
      <c r="E373" s="221"/>
      <c r="F373" s="221"/>
      <c r="G373" s="221"/>
      <c r="H373" s="221"/>
      <c r="I373" s="221"/>
      <c r="J373" s="221"/>
      <c r="K373" s="221"/>
      <c r="L373" s="221"/>
      <c r="M373" s="221"/>
      <c r="N373" s="221"/>
    </row>
    <row r="374" spans="5:14" x14ac:dyDescent="0.25">
      <c r="E374" s="221"/>
      <c r="F374" s="221"/>
      <c r="G374" s="221"/>
      <c r="H374" s="221"/>
      <c r="I374" s="221"/>
      <c r="J374" s="221"/>
      <c r="K374" s="221"/>
      <c r="L374" s="221"/>
      <c r="M374" s="221"/>
      <c r="N374" s="221"/>
    </row>
    <row r="375" spans="5:14" x14ac:dyDescent="0.25">
      <c r="E375" s="221"/>
      <c r="F375" s="221"/>
      <c r="G375" s="221"/>
      <c r="H375" s="221"/>
      <c r="I375" s="221"/>
      <c r="J375" s="221"/>
      <c r="K375" s="221"/>
      <c r="L375" s="221"/>
      <c r="M375" s="221"/>
      <c r="N375" s="221"/>
    </row>
    <row r="376" spans="5:14" x14ac:dyDescent="0.25">
      <c r="E376" s="221"/>
      <c r="F376" s="221"/>
      <c r="G376" s="221"/>
      <c r="H376" s="221"/>
      <c r="I376" s="221"/>
      <c r="J376" s="221"/>
      <c r="K376" s="221"/>
      <c r="L376" s="221"/>
      <c r="M376" s="221"/>
      <c r="N376" s="221"/>
    </row>
    <row r="377" spans="5:14" x14ac:dyDescent="0.25">
      <c r="E377" s="221"/>
      <c r="F377" s="221"/>
      <c r="G377" s="221"/>
      <c r="H377" s="221"/>
      <c r="I377" s="221"/>
      <c r="J377" s="221"/>
      <c r="K377" s="221"/>
      <c r="L377" s="221"/>
      <c r="M377" s="221"/>
      <c r="N377" s="221"/>
    </row>
    <row r="378" spans="5:14" x14ac:dyDescent="0.25">
      <c r="E378" s="221"/>
      <c r="F378" s="221"/>
      <c r="G378" s="221"/>
      <c r="H378" s="221"/>
      <c r="I378" s="221"/>
      <c r="J378" s="221"/>
      <c r="K378" s="221"/>
      <c r="L378" s="221"/>
      <c r="M378" s="221"/>
      <c r="N378" s="221"/>
    </row>
    <row r="379" spans="5:14" x14ac:dyDescent="0.25">
      <c r="E379" s="221"/>
      <c r="F379" s="221"/>
      <c r="G379" s="221"/>
      <c r="H379" s="221"/>
      <c r="I379" s="221"/>
      <c r="J379" s="221"/>
      <c r="K379" s="221"/>
      <c r="L379" s="221"/>
      <c r="M379" s="221"/>
      <c r="N379" s="221"/>
    </row>
    <row r="380" spans="5:14" x14ac:dyDescent="0.25">
      <c r="E380" s="221"/>
      <c r="F380" s="221"/>
      <c r="G380" s="221"/>
      <c r="H380" s="221"/>
      <c r="I380" s="221"/>
      <c r="J380" s="221"/>
      <c r="K380" s="221"/>
      <c r="L380" s="221"/>
      <c r="M380" s="221"/>
      <c r="N380" s="221"/>
    </row>
    <row r="381" spans="5:14" x14ac:dyDescent="0.25">
      <c r="E381" s="221"/>
      <c r="F381" s="221"/>
      <c r="G381" s="221"/>
      <c r="H381" s="221"/>
      <c r="I381" s="221"/>
      <c r="J381" s="221"/>
      <c r="K381" s="221"/>
      <c r="L381" s="221"/>
      <c r="M381" s="221"/>
      <c r="N381" s="221"/>
    </row>
    <row r="382" spans="5:14" x14ac:dyDescent="0.25">
      <c r="E382" s="221"/>
      <c r="F382" s="221"/>
      <c r="G382" s="221"/>
      <c r="H382" s="221"/>
      <c r="I382" s="221"/>
      <c r="J382" s="221"/>
      <c r="K382" s="221"/>
      <c r="L382" s="221"/>
      <c r="M382" s="221"/>
      <c r="N382" s="221"/>
    </row>
    <row r="383" spans="5:14" x14ac:dyDescent="0.25">
      <c r="E383" s="221"/>
      <c r="F383" s="221"/>
      <c r="G383" s="221"/>
      <c r="H383" s="221"/>
      <c r="I383" s="221"/>
      <c r="J383" s="221"/>
      <c r="K383" s="221"/>
      <c r="L383" s="221"/>
      <c r="M383" s="221"/>
      <c r="N383" s="221"/>
    </row>
    <row r="384" spans="5:14" x14ac:dyDescent="0.25">
      <c r="E384" s="221"/>
      <c r="F384" s="221"/>
      <c r="G384" s="221"/>
      <c r="H384" s="221"/>
      <c r="I384" s="221"/>
      <c r="J384" s="221"/>
      <c r="K384" s="221"/>
      <c r="L384" s="221"/>
      <c r="M384" s="221"/>
      <c r="N384" s="221"/>
    </row>
    <row r="385" spans="5:14" x14ac:dyDescent="0.25">
      <c r="E385" s="221"/>
      <c r="F385" s="221"/>
      <c r="G385" s="221"/>
      <c r="H385" s="221"/>
      <c r="I385" s="221"/>
      <c r="J385" s="221"/>
      <c r="K385" s="221"/>
      <c r="L385" s="221"/>
      <c r="M385" s="221"/>
      <c r="N385" s="221"/>
    </row>
    <row r="386" spans="5:14" x14ac:dyDescent="0.25">
      <c r="E386" s="221"/>
      <c r="F386" s="221"/>
      <c r="G386" s="221"/>
      <c r="H386" s="221"/>
      <c r="I386" s="221"/>
      <c r="J386" s="221"/>
      <c r="K386" s="221"/>
      <c r="L386" s="221"/>
      <c r="M386" s="221"/>
      <c r="N386" s="221"/>
    </row>
    <row r="387" spans="5:14" x14ac:dyDescent="0.25">
      <c r="E387" s="221"/>
      <c r="F387" s="221"/>
      <c r="G387" s="221"/>
      <c r="H387" s="221"/>
      <c r="I387" s="221"/>
      <c r="J387" s="221"/>
      <c r="K387" s="221"/>
      <c r="L387" s="221"/>
      <c r="M387" s="221"/>
      <c r="N387" s="221"/>
    </row>
    <row r="388" spans="5:14" x14ac:dyDescent="0.25">
      <c r="E388" s="221"/>
      <c r="F388" s="221"/>
      <c r="G388" s="221"/>
      <c r="H388" s="221"/>
      <c r="I388" s="221"/>
      <c r="J388" s="221"/>
      <c r="K388" s="221"/>
      <c r="L388" s="221"/>
      <c r="M388" s="221"/>
      <c r="N388" s="221"/>
    </row>
    <row r="389" spans="5:14" x14ac:dyDescent="0.25">
      <c r="E389" s="221"/>
      <c r="F389" s="221"/>
      <c r="G389" s="221"/>
      <c r="H389" s="221"/>
      <c r="I389" s="221"/>
      <c r="J389" s="221"/>
      <c r="K389" s="221"/>
      <c r="L389" s="221"/>
      <c r="M389" s="221"/>
      <c r="N389" s="221"/>
    </row>
    <row r="390" spans="5:14" x14ac:dyDescent="0.25">
      <c r="E390" s="221"/>
      <c r="F390" s="221"/>
      <c r="G390" s="221"/>
      <c r="H390" s="221"/>
      <c r="I390" s="221"/>
      <c r="J390" s="221"/>
      <c r="K390" s="221"/>
      <c r="L390" s="221"/>
      <c r="M390" s="221"/>
      <c r="N390" s="221"/>
    </row>
    <row r="391" spans="5:14" x14ac:dyDescent="0.25">
      <c r="E391" s="221"/>
      <c r="F391" s="221"/>
      <c r="G391" s="221"/>
      <c r="H391" s="221"/>
      <c r="I391" s="221"/>
      <c r="J391" s="221"/>
      <c r="K391" s="221"/>
      <c r="L391" s="221"/>
      <c r="M391" s="221"/>
      <c r="N391" s="221"/>
    </row>
    <row r="392" spans="5:14" x14ac:dyDescent="0.25">
      <c r="E392" s="221"/>
      <c r="F392" s="221"/>
      <c r="G392" s="221"/>
      <c r="H392" s="221"/>
      <c r="I392" s="221"/>
      <c r="J392" s="221"/>
      <c r="K392" s="221"/>
      <c r="L392" s="221"/>
      <c r="M392" s="221"/>
      <c r="N392" s="221"/>
    </row>
    <row r="393" spans="5:14" x14ac:dyDescent="0.25">
      <c r="E393" s="221"/>
      <c r="F393" s="221"/>
      <c r="G393" s="221"/>
      <c r="H393" s="221"/>
      <c r="I393" s="221"/>
      <c r="J393" s="221"/>
      <c r="K393" s="221"/>
      <c r="L393" s="221"/>
      <c r="M393" s="221"/>
      <c r="N393" s="221"/>
    </row>
    <row r="394" spans="5:14" x14ac:dyDescent="0.25">
      <c r="E394" s="221"/>
      <c r="F394" s="221"/>
      <c r="G394" s="221"/>
      <c r="H394" s="221"/>
      <c r="I394" s="221"/>
      <c r="J394" s="221"/>
      <c r="K394" s="221"/>
      <c r="L394" s="221"/>
      <c r="M394" s="221"/>
      <c r="N394" s="221"/>
    </row>
    <row r="395" spans="5:14" x14ac:dyDescent="0.25">
      <c r="E395" s="221"/>
      <c r="F395" s="221"/>
      <c r="G395" s="221"/>
      <c r="H395" s="221"/>
      <c r="I395" s="221"/>
      <c r="J395" s="221"/>
      <c r="K395" s="221"/>
      <c r="L395" s="221"/>
      <c r="M395" s="221"/>
      <c r="N395" s="221"/>
    </row>
    <row r="396" spans="5:14" x14ac:dyDescent="0.25">
      <c r="E396" s="221"/>
      <c r="F396" s="221"/>
      <c r="G396" s="221"/>
      <c r="H396" s="221"/>
      <c r="I396" s="221"/>
      <c r="J396" s="221"/>
      <c r="K396" s="221"/>
      <c r="L396" s="221"/>
      <c r="M396" s="221"/>
      <c r="N396" s="221"/>
    </row>
    <row r="397" spans="5:14" x14ac:dyDescent="0.25">
      <c r="E397" s="221"/>
      <c r="F397" s="221"/>
      <c r="G397" s="221"/>
      <c r="H397" s="221"/>
      <c r="I397" s="221"/>
      <c r="J397" s="221"/>
      <c r="K397" s="221"/>
      <c r="L397" s="221"/>
      <c r="M397" s="221"/>
      <c r="N397" s="221"/>
    </row>
    <row r="398" spans="5:14" x14ac:dyDescent="0.25">
      <c r="E398" s="221"/>
      <c r="F398" s="221"/>
      <c r="G398" s="221"/>
      <c r="H398" s="221"/>
      <c r="I398" s="221"/>
      <c r="J398" s="221"/>
      <c r="K398" s="221"/>
      <c r="L398" s="221"/>
      <c r="M398" s="221"/>
      <c r="N398" s="221"/>
    </row>
    <row r="399" spans="5:14" x14ac:dyDescent="0.25">
      <c r="E399" s="221"/>
      <c r="F399" s="221"/>
      <c r="G399" s="221"/>
      <c r="H399" s="221"/>
      <c r="I399" s="221"/>
      <c r="J399" s="221"/>
      <c r="K399" s="221"/>
      <c r="L399" s="221"/>
      <c r="M399" s="221"/>
      <c r="N399" s="221"/>
    </row>
    <row r="400" spans="5:14" x14ac:dyDescent="0.25">
      <c r="E400" s="221"/>
      <c r="F400" s="221"/>
      <c r="G400" s="221"/>
      <c r="H400" s="221"/>
      <c r="I400" s="221"/>
      <c r="J400" s="221"/>
      <c r="K400" s="221"/>
      <c r="L400" s="221"/>
      <c r="M400" s="221"/>
      <c r="N400" s="221"/>
    </row>
    <row r="401" spans="5:14" x14ac:dyDescent="0.25">
      <c r="E401" s="221"/>
      <c r="F401" s="221"/>
      <c r="G401" s="221"/>
      <c r="H401" s="221"/>
      <c r="I401" s="221"/>
      <c r="J401" s="221"/>
      <c r="K401" s="221"/>
      <c r="L401" s="221"/>
      <c r="M401" s="221"/>
      <c r="N401" s="221"/>
    </row>
    <row r="402" spans="5:14" x14ac:dyDescent="0.25">
      <c r="E402" s="221"/>
      <c r="F402" s="221"/>
      <c r="G402" s="221"/>
      <c r="H402" s="221"/>
      <c r="I402" s="221"/>
      <c r="J402" s="221"/>
      <c r="K402" s="221"/>
      <c r="L402" s="221"/>
      <c r="M402" s="221"/>
      <c r="N402" s="221"/>
    </row>
    <row r="403" spans="5:14" x14ac:dyDescent="0.25">
      <c r="E403" s="221"/>
      <c r="F403" s="221"/>
      <c r="G403" s="221"/>
      <c r="H403" s="221"/>
      <c r="I403" s="221"/>
      <c r="J403" s="221"/>
      <c r="K403" s="221"/>
      <c r="L403" s="221"/>
      <c r="M403" s="221"/>
      <c r="N403" s="221"/>
    </row>
    <row r="404" spans="5:14" x14ac:dyDescent="0.25">
      <c r="E404" s="221"/>
      <c r="F404" s="221"/>
      <c r="G404" s="221"/>
      <c r="H404" s="221"/>
      <c r="I404" s="221"/>
      <c r="J404" s="221"/>
      <c r="K404" s="221"/>
      <c r="L404" s="221"/>
      <c r="M404" s="221"/>
      <c r="N404" s="221"/>
    </row>
    <row r="405" spans="5:14" x14ac:dyDescent="0.25">
      <c r="E405" s="221"/>
      <c r="F405" s="221"/>
      <c r="G405" s="221"/>
      <c r="H405" s="221"/>
      <c r="I405" s="221"/>
      <c r="J405" s="221"/>
      <c r="K405" s="221"/>
      <c r="L405" s="221"/>
      <c r="M405" s="221"/>
      <c r="N405" s="221"/>
    </row>
    <row r="406" spans="5:14" x14ac:dyDescent="0.25">
      <c r="E406" s="221"/>
      <c r="F406" s="221"/>
      <c r="G406" s="221"/>
      <c r="H406" s="221"/>
      <c r="I406" s="221"/>
      <c r="J406" s="221"/>
      <c r="K406" s="221"/>
      <c r="L406" s="221"/>
      <c r="M406" s="221"/>
      <c r="N406" s="221"/>
    </row>
    <row r="407" spans="5:14" x14ac:dyDescent="0.25">
      <c r="E407" s="221"/>
      <c r="F407" s="221"/>
      <c r="G407" s="221"/>
      <c r="H407" s="221"/>
      <c r="I407" s="221"/>
      <c r="J407" s="221"/>
      <c r="K407" s="221"/>
      <c r="L407" s="221"/>
      <c r="M407" s="221"/>
      <c r="N407" s="221"/>
    </row>
    <row r="408" spans="5:14" x14ac:dyDescent="0.25">
      <c r="E408" s="221"/>
      <c r="F408" s="221"/>
      <c r="G408" s="221"/>
      <c r="H408" s="221"/>
      <c r="I408" s="221"/>
      <c r="J408" s="221"/>
      <c r="K408" s="221"/>
      <c r="L408" s="221"/>
      <c r="M408" s="221"/>
      <c r="N408" s="221"/>
    </row>
    <row r="409" spans="5:14" x14ac:dyDescent="0.25">
      <c r="E409" s="221"/>
      <c r="F409" s="221"/>
      <c r="G409" s="221"/>
      <c r="H409" s="221"/>
      <c r="I409" s="221"/>
      <c r="J409" s="221"/>
      <c r="K409" s="221"/>
      <c r="L409" s="221"/>
      <c r="M409" s="221"/>
      <c r="N409" s="221"/>
    </row>
    <row r="410" spans="5:14" x14ac:dyDescent="0.25">
      <c r="E410" s="221"/>
      <c r="F410" s="221"/>
      <c r="G410" s="221"/>
      <c r="H410" s="221"/>
      <c r="I410" s="221"/>
      <c r="J410" s="221"/>
      <c r="K410" s="221"/>
      <c r="L410" s="221"/>
      <c r="M410" s="221"/>
      <c r="N410" s="221"/>
    </row>
    <row r="411" spans="5:14" x14ac:dyDescent="0.25">
      <c r="E411" s="221"/>
      <c r="F411" s="221"/>
      <c r="G411" s="221"/>
      <c r="H411" s="221"/>
      <c r="I411" s="221"/>
      <c r="J411" s="221"/>
      <c r="K411" s="221"/>
      <c r="L411" s="221"/>
      <c r="M411" s="221"/>
      <c r="N411" s="221"/>
    </row>
    <row r="412" spans="5:14" x14ac:dyDescent="0.25">
      <c r="E412" s="221"/>
      <c r="F412" s="221"/>
      <c r="G412" s="221"/>
      <c r="H412" s="221"/>
      <c r="I412" s="221"/>
      <c r="J412" s="221"/>
      <c r="K412" s="221"/>
      <c r="L412" s="221"/>
      <c r="M412" s="221"/>
      <c r="N412" s="221"/>
    </row>
    <row r="413" spans="5:14" x14ac:dyDescent="0.25">
      <c r="E413" s="221"/>
      <c r="F413" s="221"/>
      <c r="G413" s="221"/>
      <c r="H413" s="221"/>
      <c r="I413" s="221"/>
      <c r="J413" s="221"/>
      <c r="K413" s="221"/>
      <c r="L413" s="221"/>
      <c r="M413" s="221"/>
      <c r="N413" s="221"/>
    </row>
    <row r="414" spans="5:14" x14ac:dyDescent="0.25">
      <c r="E414" s="221"/>
      <c r="F414" s="221"/>
      <c r="G414" s="221"/>
      <c r="H414" s="221"/>
      <c r="I414" s="221"/>
      <c r="J414" s="221"/>
      <c r="K414" s="221"/>
      <c r="L414" s="221"/>
      <c r="M414" s="221"/>
      <c r="N414" s="221"/>
    </row>
    <row r="415" spans="5:14" x14ac:dyDescent="0.25">
      <c r="E415" s="221"/>
      <c r="F415" s="221"/>
      <c r="G415" s="221"/>
      <c r="H415" s="221"/>
      <c r="I415" s="221"/>
      <c r="J415" s="221"/>
      <c r="K415" s="221"/>
      <c r="L415" s="221"/>
      <c r="M415" s="221"/>
      <c r="N415" s="221"/>
    </row>
    <row r="416" spans="5:14" x14ac:dyDescent="0.25">
      <c r="E416" s="221"/>
      <c r="F416" s="221"/>
      <c r="G416" s="221"/>
      <c r="H416" s="221"/>
      <c r="I416" s="221"/>
      <c r="J416" s="221"/>
      <c r="K416" s="221"/>
      <c r="L416" s="221"/>
      <c r="M416" s="221"/>
      <c r="N416" s="221"/>
    </row>
    <row r="417" spans="5:14" x14ac:dyDescent="0.25">
      <c r="E417" s="221"/>
      <c r="F417" s="221"/>
      <c r="G417" s="221"/>
      <c r="H417" s="221"/>
      <c r="I417" s="221"/>
      <c r="J417" s="221"/>
      <c r="K417" s="221"/>
      <c r="L417" s="221"/>
      <c r="M417" s="221"/>
      <c r="N417" s="221"/>
    </row>
    <row r="418" spans="5:14" x14ac:dyDescent="0.25">
      <c r="E418" s="221"/>
      <c r="F418" s="221"/>
      <c r="G418" s="221"/>
      <c r="H418" s="221"/>
      <c r="I418" s="221"/>
      <c r="J418" s="221"/>
      <c r="K418" s="221"/>
      <c r="L418" s="221"/>
      <c r="M418" s="221"/>
      <c r="N418" s="221"/>
    </row>
    <row r="419" spans="5:14" x14ac:dyDescent="0.25">
      <c r="E419" s="221"/>
      <c r="F419" s="221"/>
      <c r="G419" s="221"/>
      <c r="H419" s="221"/>
      <c r="I419" s="221"/>
      <c r="J419" s="221"/>
      <c r="K419" s="221"/>
      <c r="L419" s="221"/>
      <c r="M419" s="221"/>
      <c r="N419" s="221"/>
    </row>
    <row r="420" spans="5:14" x14ac:dyDescent="0.25">
      <c r="E420" s="221"/>
      <c r="F420" s="221"/>
      <c r="G420" s="221"/>
      <c r="H420" s="221"/>
      <c r="I420" s="221"/>
      <c r="J420" s="221"/>
      <c r="K420" s="221"/>
      <c r="L420" s="221"/>
      <c r="M420" s="221"/>
      <c r="N420" s="221"/>
    </row>
    <row r="421" spans="5:14" x14ac:dyDescent="0.25">
      <c r="E421" s="221"/>
      <c r="F421" s="221"/>
      <c r="G421" s="221"/>
      <c r="H421" s="221"/>
      <c r="I421" s="221"/>
      <c r="J421" s="221"/>
      <c r="K421" s="221"/>
      <c r="L421" s="221"/>
      <c r="M421" s="221"/>
      <c r="N421" s="221"/>
    </row>
    <row r="422" spans="5:14" x14ac:dyDescent="0.25">
      <c r="E422" s="221"/>
      <c r="F422" s="221"/>
      <c r="G422" s="221"/>
      <c r="H422" s="221"/>
      <c r="I422" s="221"/>
      <c r="J422" s="221"/>
      <c r="K422" s="221"/>
      <c r="L422" s="221"/>
      <c r="M422" s="221"/>
      <c r="N422" s="221"/>
    </row>
    <row r="423" spans="5:14" x14ac:dyDescent="0.25">
      <c r="E423" s="221"/>
      <c r="F423" s="221"/>
      <c r="G423" s="221"/>
      <c r="H423" s="221"/>
      <c r="I423" s="221"/>
      <c r="J423" s="221"/>
      <c r="K423" s="221"/>
      <c r="L423" s="221"/>
      <c r="M423" s="221"/>
      <c r="N423" s="221"/>
    </row>
    <row r="424" spans="5:14" x14ac:dyDescent="0.25">
      <c r="E424" s="221"/>
      <c r="F424" s="221"/>
      <c r="G424" s="221"/>
      <c r="H424" s="221"/>
      <c r="I424" s="221"/>
      <c r="J424" s="221"/>
      <c r="K424" s="221"/>
      <c r="L424" s="221"/>
      <c r="M424" s="221"/>
      <c r="N424" s="221"/>
    </row>
    <row r="425" spans="5:14" x14ac:dyDescent="0.25">
      <c r="E425" s="221"/>
      <c r="F425" s="221"/>
      <c r="G425" s="221"/>
      <c r="H425" s="221"/>
      <c r="I425" s="221"/>
      <c r="J425" s="221"/>
      <c r="K425" s="221"/>
      <c r="L425" s="221"/>
      <c r="M425" s="221"/>
      <c r="N425" s="221"/>
    </row>
    <row r="426" spans="5:14" x14ac:dyDescent="0.25">
      <c r="E426" s="221"/>
      <c r="F426" s="221"/>
      <c r="G426" s="221"/>
      <c r="H426" s="221"/>
      <c r="I426" s="221"/>
      <c r="J426" s="221"/>
      <c r="K426" s="221"/>
      <c r="L426" s="221"/>
      <c r="M426" s="221"/>
      <c r="N426" s="221"/>
    </row>
    <row r="427" spans="5:14" x14ac:dyDescent="0.25">
      <c r="E427" s="221"/>
      <c r="F427" s="221"/>
      <c r="G427" s="221"/>
      <c r="H427" s="221"/>
      <c r="I427" s="221"/>
      <c r="J427" s="221"/>
      <c r="K427" s="221"/>
      <c r="L427" s="221"/>
      <c r="M427" s="221"/>
      <c r="N427" s="221"/>
    </row>
    <row r="428" spans="5:14" x14ac:dyDescent="0.25">
      <c r="E428" s="221"/>
      <c r="F428" s="221"/>
      <c r="G428" s="221"/>
      <c r="H428" s="221"/>
      <c r="I428" s="221"/>
      <c r="J428" s="221"/>
      <c r="K428" s="221"/>
      <c r="L428" s="221"/>
      <c r="M428" s="221"/>
      <c r="N428" s="221"/>
    </row>
    <row r="429" spans="5:14" x14ac:dyDescent="0.25">
      <c r="E429" s="221"/>
      <c r="F429" s="221"/>
      <c r="G429" s="221"/>
      <c r="H429" s="221"/>
      <c r="I429" s="221"/>
      <c r="J429" s="221"/>
      <c r="K429" s="221"/>
      <c r="L429" s="221"/>
      <c r="M429" s="221"/>
      <c r="N429" s="221"/>
    </row>
    <row r="430" spans="5:14" x14ac:dyDescent="0.25">
      <c r="E430" s="221"/>
      <c r="F430" s="221"/>
      <c r="G430" s="221"/>
      <c r="H430" s="221"/>
      <c r="I430" s="221"/>
      <c r="J430" s="221"/>
      <c r="K430" s="221"/>
      <c r="L430" s="221"/>
      <c r="M430" s="221"/>
      <c r="N430" s="221"/>
    </row>
    <row r="431" spans="5:14" x14ac:dyDescent="0.25">
      <c r="E431" s="221"/>
      <c r="F431" s="221"/>
      <c r="G431" s="221"/>
      <c r="H431" s="221"/>
      <c r="I431" s="221"/>
      <c r="J431" s="221"/>
      <c r="K431" s="221"/>
      <c r="L431" s="221"/>
      <c r="M431" s="221"/>
      <c r="N431" s="221"/>
    </row>
    <row r="432" spans="5:14" x14ac:dyDescent="0.25">
      <c r="E432" s="221"/>
      <c r="F432" s="221"/>
      <c r="G432" s="221"/>
      <c r="H432" s="221"/>
      <c r="I432" s="221"/>
      <c r="J432" s="221"/>
      <c r="K432" s="221"/>
      <c r="L432" s="221"/>
      <c r="M432" s="221"/>
      <c r="N432" s="221"/>
    </row>
    <row r="433" spans="5:14" x14ac:dyDescent="0.25">
      <c r="E433" s="221"/>
      <c r="F433" s="221"/>
      <c r="G433" s="221"/>
      <c r="H433" s="221"/>
      <c r="I433" s="221"/>
      <c r="J433" s="221"/>
      <c r="K433" s="221"/>
      <c r="L433" s="221"/>
      <c r="M433" s="221"/>
      <c r="N433" s="221"/>
    </row>
    <row r="434" spans="5:14" x14ac:dyDescent="0.25">
      <c r="E434" s="221"/>
      <c r="F434" s="221"/>
      <c r="G434" s="221"/>
      <c r="H434" s="221"/>
      <c r="I434" s="221"/>
      <c r="J434" s="221"/>
      <c r="K434" s="221"/>
      <c r="L434" s="221"/>
      <c r="M434" s="221"/>
      <c r="N434" s="221"/>
    </row>
    <row r="435" spans="5:14" x14ac:dyDescent="0.25">
      <c r="E435" s="221"/>
      <c r="F435" s="221"/>
      <c r="G435" s="221"/>
      <c r="H435" s="221"/>
      <c r="I435" s="221"/>
      <c r="J435" s="221"/>
      <c r="K435" s="221"/>
      <c r="L435" s="221"/>
      <c r="M435" s="221"/>
      <c r="N435" s="221"/>
    </row>
    <row r="436" spans="5:14" x14ac:dyDescent="0.25">
      <c r="E436" s="221"/>
      <c r="F436" s="221"/>
      <c r="G436" s="221"/>
      <c r="H436" s="221"/>
      <c r="I436" s="221"/>
      <c r="J436" s="221"/>
      <c r="K436" s="221"/>
      <c r="L436" s="221"/>
      <c r="M436" s="221"/>
      <c r="N436" s="221"/>
    </row>
    <row r="437" spans="5:14" x14ac:dyDescent="0.25">
      <c r="E437" s="221"/>
      <c r="F437" s="221"/>
      <c r="G437" s="221"/>
      <c r="H437" s="221"/>
      <c r="I437" s="221"/>
      <c r="J437" s="221"/>
      <c r="K437" s="221"/>
      <c r="L437" s="221"/>
      <c r="M437" s="221"/>
      <c r="N437" s="221"/>
    </row>
    <row r="438" spans="5:14" x14ac:dyDescent="0.25">
      <c r="E438" s="221"/>
      <c r="F438" s="221"/>
      <c r="G438" s="221"/>
      <c r="H438" s="221"/>
      <c r="I438" s="221"/>
      <c r="J438" s="221"/>
      <c r="K438" s="221"/>
      <c r="L438" s="221"/>
      <c r="M438" s="221"/>
      <c r="N438" s="221"/>
    </row>
    <row r="439" spans="5:14" x14ac:dyDescent="0.25">
      <c r="E439" s="221"/>
      <c r="F439" s="221"/>
      <c r="G439" s="221"/>
      <c r="H439" s="221"/>
      <c r="I439" s="221"/>
      <c r="J439" s="221"/>
      <c r="K439" s="221"/>
      <c r="L439" s="221"/>
      <c r="M439" s="221"/>
      <c r="N439" s="221"/>
    </row>
    <row r="440" spans="5:14" x14ac:dyDescent="0.25">
      <c r="E440" s="221"/>
      <c r="F440" s="221"/>
      <c r="G440" s="221"/>
      <c r="H440" s="221"/>
      <c r="I440" s="221"/>
      <c r="J440" s="221"/>
      <c r="K440" s="221"/>
      <c r="L440" s="221"/>
      <c r="M440" s="221"/>
      <c r="N440" s="221"/>
    </row>
    <row r="441" spans="5:14" x14ac:dyDescent="0.25">
      <c r="E441" s="221"/>
      <c r="F441" s="221"/>
      <c r="G441" s="221"/>
      <c r="H441" s="221"/>
      <c r="I441" s="221"/>
      <c r="J441" s="221"/>
      <c r="K441" s="221"/>
      <c r="L441" s="221"/>
      <c r="M441" s="221"/>
      <c r="N441" s="221"/>
    </row>
    <row r="442" spans="5:14" x14ac:dyDescent="0.25">
      <c r="E442" s="221"/>
      <c r="F442" s="221"/>
      <c r="G442" s="221"/>
      <c r="H442" s="221"/>
      <c r="I442" s="221"/>
      <c r="J442" s="221"/>
      <c r="K442" s="221"/>
      <c r="L442" s="221"/>
      <c r="M442" s="221"/>
      <c r="N442" s="221"/>
    </row>
    <row r="443" spans="5:14" x14ac:dyDescent="0.25">
      <c r="E443" s="221"/>
      <c r="F443" s="221"/>
      <c r="G443" s="221"/>
      <c r="H443" s="221"/>
      <c r="I443" s="221"/>
      <c r="J443" s="221"/>
      <c r="K443" s="221"/>
      <c r="L443" s="221"/>
      <c r="M443" s="221"/>
      <c r="N443" s="221"/>
    </row>
    <row r="444" spans="5:14" x14ac:dyDescent="0.25">
      <c r="E444" s="221"/>
      <c r="F444" s="221"/>
      <c r="G444" s="221"/>
      <c r="H444" s="221"/>
      <c r="I444" s="221"/>
      <c r="J444" s="221"/>
      <c r="K444" s="221"/>
      <c r="L444" s="221"/>
      <c r="M444" s="221"/>
      <c r="N444" s="221"/>
    </row>
    <row r="445" spans="5:14" x14ac:dyDescent="0.25">
      <c r="E445" s="221"/>
      <c r="F445" s="221"/>
      <c r="G445" s="221"/>
      <c r="H445" s="221"/>
      <c r="I445" s="221"/>
      <c r="J445" s="221"/>
      <c r="K445" s="221"/>
      <c r="L445" s="221"/>
      <c r="M445" s="221"/>
      <c r="N445" s="221"/>
    </row>
    <row r="446" spans="5:14" x14ac:dyDescent="0.25">
      <c r="E446" s="221"/>
      <c r="F446" s="221"/>
      <c r="G446" s="221"/>
      <c r="H446" s="221"/>
      <c r="I446" s="221"/>
      <c r="J446" s="221"/>
      <c r="K446" s="221"/>
      <c r="L446" s="221"/>
      <c r="M446" s="221"/>
      <c r="N446" s="221"/>
    </row>
    <row r="447" spans="5:14" x14ac:dyDescent="0.25">
      <c r="E447" s="221"/>
      <c r="F447" s="221"/>
      <c r="G447" s="221"/>
      <c r="H447" s="221"/>
      <c r="I447" s="221"/>
      <c r="J447" s="221"/>
      <c r="K447" s="221"/>
      <c r="L447" s="221"/>
      <c r="M447" s="221"/>
      <c r="N447" s="221"/>
    </row>
    <row r="448" spans="5:14" x14ac:dyDescent="0.25">
      <c r="E448" s="221"/>
      <c r="F448" s="221"/>
      <c r="G448" s="221"/>
      <c r="H448" s="221"/>
      <c r="I448" s="221"/>
      <c r="J448" s="221"/>
      <c r="K448" s="221"/>
      <c r="L448" s="221"/>
      <c r="M448" s="221"/>
      <c r="N448" s="221"/>
    </row>
    <row r="449" spans="5:14" x14ac:dyDescent="0.25">
      <c r="E449" s="221"/>
      <c r="F449" s="221"/>
      <c r="G449" s="221"/>
      <c r="H449" s="221"/>
      <c r="I449" s="221"/>
      <c r="J449" s="221"/>
      <c r="K449" s="221"/>
      <c r="L449" s="221"/>
      <c r="M449" s="221"/>
      <c r="N449" s="221"/>
    </row>
    <row r="450" spans="5:14" x14ac:dyDescent="0.25">
      <c r="E450" s="221"/>
      <c r="F450" s="221"/>
      <c r="G450" s="221"/>
      <c r="H450" s="221"/>
      <c r="I450" s="221"/>
      <c r="J450" s="221"/>
      <c r="K450" s="221"/>
      <c r="L450" s="221"/>
      <c r="M450" s="221"/>
      <c r="N450" s="221"/>
    </row>
    <row r="451" spans="5:14" x14ac:dyDescent="0.25">
      <c r="E451" s="221"/>
      <c r="F451" s="221"/>
      <c r="G451" s="221"/>
      <c r="H451" s="221"/>
      <c r="I451" s="221"/>
      <c r="J451" s="221"/>
      <c r="K451" s="221"/>
      <c r="L451" s="221"/>
      <c r="M451" s="221"/>
      <c r="N451" s="221"/>
    </row>
    <row r="452" spans="5:14" x14ac:dyDescent="0.25">
      <c r="E452" s="221"/>
      <c r="F452" s="221"/>
      <c r="G452" s="221"/>
      <c r="H452" s="221"/>
      <c r="I452" s="221"/>
      <c r="J452" s="221"/>
      <c r="K452" s="221"/>
      <c r="L452" s="221"/>
      <c r="M452" s="221"/>
      <c r="N452" s="221"/>
    </row>
    <row r="453" spans="5:14" x14ac:dyDescent="0.25">
      <c r="E453" s="221"/>
      <c r="F453" s="221"/>
      <c r="G453" s="221"/>
      <c r="H453" s="221"/>
      <c r="I453" s="221"/>
      <c r="J453" s="221"/>
      <c r="K453" s="221"/>
      <c r="L453" s="221"/>
      <c r="M453" s="221"/>
      <c r="N453" s="221"/>
    </row>
    <row r="454" spans="5:14" x14ac:dyDescent="0.25">
      <c r="E454" s="221"/>
      <c r="F454" s="221"/>
      <c r="G454" s="221"/>
      <c r="H454" s="221"/>
      <c r="I454" s="221"/>
      <c r="J454" s="221"/>
      <c r="K454" s="221"/>
      <c r="L454" s="221"/>
      <c r="M454" s="221"/>
      <c r="N454" s="221"/>
    </row>
    <row r="455" spans="5:14" x14ac:dyDescent="0.25">
      <c r="E455" s="221"/>
      <c r="F455" s="221"/>
      <c r="G455" s="221"/>
      <c r="H455" s="221"/>
      <c r="I455" s="221"/>
      <c r="J455" s="221"/>
      <c r="K455" s="221"/>
      <c r="L455" s="221"/>
      <c r="M455" s="221"/>
      <c r="N455" s="221"/>
    </row>
    <row r="456" spans="5:14" x14ac:dyDescent="0.25">
      <c r="E456" s="221"/>
      <c r="F456" s="221"/>
      <c r="G456" s="221"/>
      <c r="H456" s="221"/>
      <c r="I456" s="221"/>
      <c r="J456" s="221"/>
      <c r="K456" s="221"/>
      <c r="L456" s="221"/>
      <c r="M456" s="221"/>
      <c r="N456" s="221"/>
    </row>
    <row r="457" spans="5:14" x14ac:dyDescent="0.25">
      <c r="E457" s="221"/>
      <c r="F457" s="221"/>
      <c r="G457" s="221"/>
      <c r="H457" s="221"/>
      <c r="I457" s="221"/>
      <c r="J457" s="221"/>
      <c r="K457" s="221"/>
      <c r="L457" s="221"/>
      <c r="M457" s="221"/>
      <c r="N457" s="221"/>
    </row>
    <row r="458" spans="5:14" x14ac:dyDescent="0.25">
      <c r="E458" s="221"/>
      <c r="F458" s="221"/>
      <c r="G458" s="221"/>
      <c r="H458" s="221"/>
      <c r="I458" s="221"/>
      <c r="J458" s="221"/>
      <c r="K458" s="221"/>
      <c r="L458" s="221"/>
      <c r="M458" s="221"/>
      <c r="N458" s="221"/>
    </row>
    <row r="459" spans="5:14" x14ac:dyDescent="0.25">
      <c r="E459" s="221"/>
      <c r="F459" s="221"/>
      <c r="G459" s="221"/>
      <c r="H459" s="221"/>
      <c r="I459" s="221"/>
      <c r="J459" s="221"/>
      <c r="K459" s="221"/>
      <c r="L459" s="221"/>
      <c r="M459" s="221"/>
      <c r="N459" s="221"/>
    </row>
    <row r="460" spans="5:14" x14ac:dyDescent="0.25">
      <c r="E460" s="221"/>
      <c r="F460" s="221"/>
      <c r="G460" s="221"/>
      <c r="H460" s="221"/>
      <c r="I460" s="221"/>
      <c r="J460" s="221"/>
      <c r="K460" s="221"/>
      <c r="L460" s="221"/>
      <c r="M460" s="221"/>
      <c r="N460" s="221"/>
    </row>
    <row r="461" spans="5:14" x14ac:dyDescent="0.25">
      <c r="E461" s="221"/>
      <c r="F461" s="221"/>
      <c r="G461" s="221"/>
      <c r="H461" s="221"/>
      <c r="I461" s="221"/>
      <c r="J461" s="221"/>
      <c r="K461" s="221"/>
      <c r="L461" s="221"/>
      <c r="M461" s="221"/>
      <c r="N461" s="221"/>
    </row>
    <row r="462" spans="5:14" x14ac:dyDescent="0.25">
      <c r="E462" s="221"/>
      <c r="F462" s="221"/>
      <c r="G462" s="221"/>
      <c r="H462" s="221"/>
      <c r="I462" s="221"/>
      <c r="J462" s="221"/>
      <c r="K462" s="221"/>
      <c r="L462" s="221"/>
      <c r="M462" s="221"/>
      <c r="N462" s="221"/>
    </row>
    <row r="463" spans="5:14" x14ac:dyDescent="0.25">
      <c r="E463" s="221"/>
      <c r="F463" s="221"/>
      <c r="G463" s="221"/>
      <c r="H463" s="221"/>
      <c r="I463" s="221"/>
      <c r="J463" s="221"/>
      <c r="K463" s="221"/>
      <c r="L463" s="221"/>
      <c r="M463" s="221"/>
      <c r="N463" s="221"/>
    </row>
    <row r="464" spans="5:14" x14ac:dyDescent="0.25">
      <c r="E464" s="221"/>
      <c r="F464" s="221"/>
      <c r="G464" s="221"/>
      <c r="H464" s="221"/>
      <c r="I464" s="221"/>
      <c r="J464" s="221"/>
      <c r="K464" s="221"/>
      <c r="L464" s="221"/>
      <c r="M464" s="221"/>
      <c r="N464" s="221"/>
    </row>
    <row r="465" spans="5:14" x14ac:dyDescent="0.25">
      <c r="E465" s="221"/>
      <c r="F465" s="221"/>
      <c r="G465" s="221"/>
      <c r="H465" s="221"/>
      <c r="I465" s="221"/>
      <c r="J465" s="221"/>
      <c r="K465" s="221"/>
      <c r="L465" s="221"/>
      <c r="M465" s="221"/>
      <c r="N465" s="221"/>
    </row>
    <row r="466" spans="5:14" x14ac:dyDescent="0.25">
      <c r="E466" s="221"/>
      <c r="F466" s="221"/>
      <c r="G466" s="221"/>
      <c r="H466" s="221"/>
      <c r="I466" s="221"/>
      <c r="J466" s="221"/>
      <c r="K466" s="221"/>
      <c r="L466" s="221"/>
      <c r="M466" s="221"/>
      <c r="N466" s="221"/>
    </row>
    <row r="467" spans="5:14" x14ac:dyDescent="0.25">
      <c r="E467" s="221"/>
      <c r="F467" s="221"/>
      <c r="G467" s="221"/>
      <c r="H467" s="221"/>
      <c r="I467" s="221"/>
      <c r="J467" s="221"/>
      <c r="K467" s="221"/>
      <c r="L467" s="221"/>
      <c r="M467" s="221"/>
      <c r="N467" s="221"/>
    </row>
    <row r="468" spans="5:14" x14ac:dyDescent="0.25">
      <c r="E468" s="221"/>
      <c r="F468" s="221"/>
      <c r="G468" s="221"/>
      <c r="H468" s="221"/>
      <c r="I468" s="221"/>
      <c r="J468" s="221"/>
      <c r="K468" s="221"/>
      <c r="L468" s="221"/>
      <c r="M468" s="221"/>
      <c r="N468" s="221"/>
    </row>
    <row r="469" spans="5:14" x14ac:dyDescent="0.25">
      <c r="E469" s="221"/>
      <c r="F469" s="221"/>
      <c r="G469" s="221"/>
      <c r="H469" s="221"/>
      <c r="I469" s="221"/>
      <c r="J469" s="221"/>
      <c r="K469" s="221"/>
      <c r="L469" s="221"/>
      <c r="M469" s="221"/>
      <c r="N469" s="221"/>
    </row>
    <row r="470" spans="5:14" x14ac:dyDescent="0.25">
      <c r="E470" s="221"/>
      <c r="F470" s="221"/>
      <c r="G470" s="221"/>
      <c r="H470" s="221"/>
      <c r="I470" s="221"/>
      <c r="J470" s="221"/>
      <c r="K470" s="221"/>
      <c r="L470" s="221"/>
      <c r="M470" s="221"/>
      <c r="N470" s="221"/>
    </row>
    <row r="471" spans="5:14" x14ac:dyDescent="0.25">
      <c r="E471" s="221"/>
      <c r="F471" s="221"/>
      <c r="G471" s="221"/>
      <c r="H471" s="221"/>
      <c r="I471" s="221"/>
      <c r="J471" s="221"/>
      <c r="K471" s="221"/>
      <c r="L471" s="221"/>
      <c r="M471" s="221"/>
      <c r="N471" s="221"/>
    </row>
    <row r="472" spans="5:14" x14ac:dyDescent="0.25">
      <c r="E472" s="221"/>
      <c r="F472" s="221"/>
      <c r="G472" s="221"/>
      <c r="H472" s="221"/>
      <c r="I472" s="221"/>
      <c r="J472" s="221"/>
      <c r="K472" s="221"/>
      <c r="L472" s="221"/>
      <c r="M472" s="221"/>
      <c r="N472" s="221"/>
    </row>
    <row r="473" spans="5:14" x14ac:dyDescent="0.25">
      <c r="E473" s="221"/>
      <c r="F473" s="221"/>
      <c r="G473" s="221"/>
      <c r="H473" s="221"/>
      <c r="I473" s="221"/>
      <c r="J473" s="221"/>
      <c r="K473" s="221"/>
      <c r="L473" s="221"/>
      <c r="M473" s="221"/>
      <c r="N473" s="221"/>
    </row>
    <row r="474" spans="5:14" x14ac:dyDescent="0.25">
      <c r="E474" s="221"/>
      <c r="F474" s="221"/>
      <c r="G474" s="221"/>
      <c r="H474" s="221"/>
      <c r="I474" s="221"/>
      <c r="J474" s="221"/>
      <c r="K474" s="221"/>
      <c r="L474" s="221"/>
      <c r="M474" s="221"/>
      <c r="N474" s="221"/>
    </row>
    <row r="475" spans="5:14" x14ac:dyDescent="0.25">
      <c r="E475" s="221"/>
      <c r="F475" s="221"/>
      <c r="G475" s="221"/>
      <c r="H475" s="221"/>
      <c r="I475" s="221"/>
      <c r="J475" s="221"/>
      <c r="K475" s="221"/>
      <c r="L475" s="221"/>
      <c r="M475" s="221"/>
      <c r="N475" s="221"/>
    </row>
    <row r="476" spans="5:14" x14ac:dyDescent="0.25">
      <c r="E476" s="221"/>
      <c r="F476" s="221"/>
      <c r="G476" s="221"/>
      <c r="H476" s="221"/>
      <c r="I476" s="221"/>
      <c r="J476" s="221"/>
      <c r="K476" s="221"/>
      <c r="L476" s="221"/>
      <c r="M476" s="221"/>
      <c r="N476" s="221"/>
    </row>
    <row r="477" spans="5:14" x14ac:dyDescent="0.25">
      <c r="E477" s="221"/>
      <c r="F477" s="221"/>
      <c r="G477" s="221"/>
      <c r="H477" s="221"/>
      <c r="I477" s="221"/>
      <c r="J477" s="221"/>
      <c r="K477" s="221"/>
      <c r="L477" s="221"/>
      <c r="M477" s="221"/>
      <c r="N477" s="221"/>
    </row>
    <row r="478" spans="5:14" x14ac:dyDescent="0.25">
      <c r="E478" s="221"/>
      <c r="F478" s="221"/>
      <c r="G478" s="221"/>
      <c r="H478" s="221"/>
      <c r="I478" s="221"/>
      <c r="J478" s="221"/>
      <c r="K478" s="221"/>
      <c r="L478" s="221"/>
      <c r="M478" s="221"/>
      <c r="N478" s="221"/>
    </row>
    <row r="479" spans="5:14" x14ac:dyDescent="0.25">
      <c r="E479" s="221"/>
      <c r="F479" s="221"/>
      <c r="G479" s="221"/>
      <c r="H479" s="221"/>
      <c r="I479" s="221"/>
      <c r="J479" s="221"/>
      <c r="K479" s="221"/>
      <c r="L479" s="221"/>
      <c r="M479" s="221"/>
      <c r="N479" s="221"/>
    </row>
    <row r="480" spans="5:14" x14ac:dyDescent="0.25">
      <c r="E480" s="221"/>
      <c r="F480" s="221"/>
      <c r="G480" s="221"/>
      <c r="H480" s="221"/>
      <c r="I480" s="221"/>
      <c r="J480" s="221"/>
      <c r="K480" s="221"/>
      <c r="L480" s="221"/>
      <c r="M480" s="221"/>
      <c r="N480" s="221"/>
    </row>
    <row r="481" spans="5:14" x14ac:dyDescent="0.25">
      <c r="E481" s="221"/>
      <c r="F481" s="221"/>
      <c r="G481" s="221"/>
      <c r="H481" s="221"/>
      <c r="I481" s="221"/>
      <c r="J481" s="221"/>
      <c r="K481" s="221"/>
      <c r="L481" s="221"/>
      <c r="M481" s="221"/>
      <c r="N481" s="221"/>
    </row>
    <row r="482" spans="5:14" x14ac:dyDescent="0.25">
      <c r="E482" s="221"/>
      <c r="F482" s="221"/>
      <c r="G482" s="221"/>
      <c r="H482" s="221"/>
      <c r="I482" s="221"/>
      <c r="J482" s="221"/>
      <c r="K482" s="221"/>
      <c r="L482" s="221"/>
      <c r="M482" s="221"/>
      <c r="N482" s="221"/>
    </row>
    <row r="483" spans="5:14" x14ac:dyDescent="0.25">
      <c r="E483" s="221"/>
      <c r="F483" s="221"/>
      <c r="G483" s="221"/>
      <c r="H483" s="221"/>
      <c r="I483" s="221"/>
      <c r="J483" s="221"/>
      <c r="K483" s="221"/>
      <c r="L483" s="221"/>
      <c r="M483" s="221"/>
      <c r="N483" s="221"/>
    </row>
    <row r="484" spans="5:14" x14ac:dyDescent="0.25">
      <c r="E484" s="221"/>
      <c r="F484" s="221"/>
      <c r="G484" s="221"/>
      <c r="H484" s="221"/>
      <c r="I484" s="221"/>
      <c r="J484" s="221"/>
      <c r="K484" s="221"/>
      <c r="L484" s="221"/>
      <c r="M484" s="221"/>
      <c r="N484" s="221"/>
    </row>
    <row r="485" spans="5:14" x14ac:dyDescent="0.25">
      <c r="E485" s="221"/>
      <c r="F485" s="221"/>
      <c r="G485" s="221"/>
      <c r="H485" s="221"/>
      <c r="I485" s="221"/>
      <c r="J485" s="221"/>
      <c r="K485" s="221"/>
      <c r="L485" s="221"/>
      <c r="M485" s="221"/>
      <c r="N485" s="221"/>
    </row>
    <row r="486" spans="5:14" x14ac:dyDescent="0.25">
      <c r="E486" s="221"/>
      <c r="F486" s="221"/>
      <c r="G486" s="221"/>
      <c r="H486" s="221"/>
      <c r="I486" s="221"/>
      <c r="J486" s="221"/>
      <c r="K486" s="221"/>
      <c r="L486" s="221"/>
      <c r="M486" s="221"/>
      <c r="N486" s="221"/>
    </row>
    <row r="487" spans="5:14" x14ac:dyDescent="0.25">
      <c r="E487" s="221"/>
      <c r="F487" s="221"/>
      <c r="G487" s="221"/>
      <c r="H487" s="221"/>
      <c r="I487" s="221"/>
      <c r="J487" s="221"/>
      <c r="K487" s="221"/>
      <c r="L487" s="221"/>
      <c r="M487" s="221"/>
      <c r="N487" s="221"/>
    </row>
    <row r="488" spans="5:14" x14ac:dyDescent="0.25">
      <c r="E488" s="221"/>
      <c r="F488" s="221"/>
      <c r="G488" s="221"/>
      <c r="H488" s="221"/>
      <c r="I488" s="221"/>
      <c r="J488" s="221"/>
      <c r="K488" s="221"/>
      <c r="L488" s="221"/>
      <c r="M488" s="221"/>
      <c r="N488" s="221"/>
    </row>
    <row r="489" spans="5:14" x14ac:dyDescent="0.25">
      <c r="E489" s="221"/>
      <c r="F489" s="221"/>
      <c r="G489" s="221"/>
      <c r="H489" s="221"/>
      <c r="I489" s="221"/>
      <c r="J489" s="221"/>
      <c r="K489" s="221"/>
      <c r="L489" s="221"/>
      <c r="M489" s="221"/>
      <c r="N489" s="221"/>
    </row>
    <row r="490" spans="5:14" x14ac:dyDescent="0.25">
      <c r="E490" s="221"/>
      <c r="F490" s="221"/>
      <c r="G490" s="221"/>
      <c r="H490" s="221"/>
      <c r="I490" s="221"/>
      <c r="J490" s="221"/>
      <c r="K490" s="221"/>
      <c r="L490" s="221"/>
      <c r="M490" s="221"/>
      <c r="N490" s="221"/>
    </row>
    <row r="491" spans="5:14" x14ac:dyDescent="0.25">
      <c r="E491" s="221"/>
      <c r="F491" s="221"/>
      <c r="G491" s="221"/>
      <c r="H491" s="221"/>
      <c r="I491" s="221"/>
      <c r="J491" s="221"/>
      <c r="K491" s="221"/>
      <c r="L491" s="221"/>
      <c r="M491" s="221"/>
      <c r="N491" s="221"/>
    </row>
    <row r="492" spans="5:14" x14ac:dyDescent="0.25">
      <c r="E492" s="221"/>
      <c r="F492" s="221"/>
      <c r="G492" s="221"/>
      <c r="H492" s="221"/>
      <c r="I492" s="221"/>
      <c r="J492" s="221"/>
      <c r="K492" s="221"/>
      <c r="L492" s="221"/>
      <c r="M492" s="221"/>
      <c r="N492" s="221"/>
    </row>
    <row r="493" spans="5:14" x14ac:dyDescent="0.25">
      <c r="E493" s="221"/>
      <c r="F493" s="221"/>
      <c r="G493" s="221"/>
      <c r="H493" s="221"/>
      <c r="I493" s="221"/>
      <c r="J493" s="221"/>
      <c r="K493" s="221"/>
      <c r="L493" s="221"/>
      <c r="M493" s="221"/>
      <c r="N493" s="221"/>
    </row>
    <row r="494" spans="5:14" x14ac:dyDescent="0.25">
      <c r="E494" s="221"/>
      <c r="F494" s="221"/>
      <c r="G494" s="221"/>
      <c r="H494" s="221"/>
      <c r="I494" s="221"/>
      <c r="J494" s="221"/>
      <c r="K494" s="221"/>
      <c r="L494" s="221"/>
      <c r="M494" s="221"/>
      <c r="N494" s="221"/>
    </row>
    <row r="495" spans="5:14" x14ac:dyDescent="0.25">
      <c r="E495" s="221"/>
      <c r="F495" s="221"/>
      <c r="G495" s="221"/>
      <c r="H495" s="221"/>
      <c r="I495" s="221"/>
      <c r="J495" s="221"/>
      <c r="K495" s="221"/>
      <c r="L495" s="221"/>
      <c r="M495" s="221"/>
      <c r="N495" s="221"/>
    </row>
    <row r="496" spans="5:14" x14ac:dyDescent="0.25">
      <c r="E496" s="221"/>
      <c r="F496" s="221"/>
      <c r="G496" s="221"/>
      <c r="H496" s="221"/>
      <c r="I496" s="221"/>
      <c r="J496" s="221"/>
      <c r="K496" s="221"/>
      <c r="L496" s="221"/>
      <c r="M496" s="221"/>
      <c r="N496" s="221"/>
    </row>
    <row r="497" spans="5:14" x14ac:dyDescent="0.25">
      <c r="E497" s="221"/>
      <c r="F497" s="221"/>
      <c r="G497" s="221"/>
      <c r="H497" s="221"/>
      <c r="I497" s="221"/>
      <c r="J497" s="221"/>
      <c r="K497" s="221"/>
      <c r="L497" s="221"/>
      <c r="M497" s="221"/>
      <c r="N497" s="221"/>
    </row>
    <row r="498" spans="5:14" x14ac:dyDescent="0.25">
      <c r="E498" s="221"/>
      <c r="F498" s="221"/>
      <c r="G498" s="221"/>
      <c r="H498" s="221"/>
      <c r="I498" s="221"/>
      <c r="J498" s="221"/>
      <c r="K498" s="221"/>
      <c r="L498" s="221"/>
      <c r="M498" s="221"/>
      <c r="N498" s="221"/>
    </row>
    <row r="499" spans="5:14" x14ac:dyDescent="0.25">
      <c r="E499" s="221"/>
      <c r="F499" s="221"/>
      <c r="G499" s="221"/>
      <c r="H499" s="221"/>
      <c r="I499" s="221"/>
      <c r="J499" s="221"/>
      <c r="K499" s="221"/>
      <c r="L499" s="221"/>
      <c r="M499" s="221"/>
      <c r="N499" s="221"/>
    </row>
    <row r="500" spans="5:14" x14ac:dyDescent="0.25">
      <c r="E500" s="221"/>
      <c r="F500" s="221"/>
      <c r="G500" s="221"/>
      <c r="H500" s="221"/>
      <c r="I500" s="221"/>
      <c r="J500" s="221"/>
      <c r="K500" s="221"/>
      <c r="L500" s="221"/>
      <c r="M500" s="221"/>
      <c r="N500" s="221"/>
    </row>
    <row r="501" spans="5:14" x14ac:dyDescent="0.25">
      <c r="E501" s="221"/>
      <c r="F501" s="221"/>
      <c r="G501" s="221"/>
      <c r="H501" s="221"/>
      <c r="I501" s="221"/>
      <c r="J501" s="221"/>
      <c r="K501" s="221"/>
      <c r="L501" s="221"/>
      <c r="M501" s="221"/>
      <c r="N501" s="221"/>
    </row>
    <row r="502" spans="5:14" x14ac:dyDescent="0.25">
      <c r="E502" s="221"/>
      <c r="F502" s="221"/>
      <c r="G502" s="221"/>
      <c r="H502" s="221"/>
      <c r="I502" s="221"/>
      <c r="J502" s="221"/>
      <c r="K502" s="221"/>
      <c r="L502" s="221"/>
      <c r="M502" s="221"/>
      <c r="N502" s="221"/>
    </row>
    <row r="503" spans="5:14" x14ac:dyDescent="0.25">
      <c r="E503" s="221"/>
      <c r="F503" s="221"/>
      <c r="G503" s="221"/>
      <c r="H503" s="221"/>
      <c r="I503" s="221"/>
      <c r="J503" s="221"/>
      <c r="K503" s="221"/>
      <c r="L503" s="221"/>
      <c r="M503" s="221"/>
      <c r="N503" s="221"/>
    </row>
    <row r="504" spans="5:14" x14ac:dyDescent="0.25">
      <c r="E504" s="221"/>
      <c r="F504" s="221"/>
      <c r="G504" s="221"/>
      <c r="H504" s="221"/>
      <c r="I504" s="221"/>
      <c r="J504" s="221"/>
      <c r="K504" s="221"/>
      <c r="L504" s="221"/>
      <c r="M504" s="221"/>
      <c r="N504" s="221"/>
    </row>
    <row r="505" spans="5:14" x14ac:dyDescent="0.25">
      <c r="E505" s="221"/>
      <c r="F505" s="221"/>
      <c r="G505" s="221"/>
      <c r="H505" s="221"/>
      <c r="I505" s="221"/>
      <c r="J505" s="221"/>
      <c r="K505" s="221"/>
      <c r="L505" s="221"/>
      <c r="M505" s="221"/>
      <c r="N505" s="221"/>
    </row>
    <row r="506" spans="5:14" x14ac:dyDescent="0.25">
      <c r="E506" s="221"/>
      <c r="F506" s="221"/>
      <c r="G506" s="221"/>
      <c r="H506" s="221"/>
      <c r="I506" s="221"/>
      <c r="J506" s="221"/>
      <c r="K506" s="221"/>
      <c r="L506" s="221"/>
      <c r="M506" s="221"/>
      <c r="N506" s="221"/>
    </row>
    <row r="507" spans="5:14" x14ac:dyDescent="0.25">
      <c r="E507" s="221"/>
      <c r="F507" s="221"/>
      <c r="G507" s="221"/>
      <c r="H507" s="221"/>
      <c r="I507" s="221"/>
      <c r="J507" s="221"/>
      <c r="K507" s="221"/>
      <c r="L507" s="221"/>
      <c r="M507" s="221"/>
      <c r="N507" s="221"/>
    </row>
    <row r="508" spans="5:14" x14ac:dyDescent="0.25">
      <c r="E508" s="221"/>
      <c r="F508" s="221"/>
      <c r="G508" s="221"/>
      <c r="H508" s="221"/>
      <c r="I508" s="221"/>
      <c r="J508" s="221"/>
      <c r="K508" s="221"/>
      <c r="L508" s="221"/>
      <c r="M508" s="221"/>
      <c r="N508" s="221"/>
    </row>
    <row r="509" spans="5:14" x14ac:dyDescent="0.25">
      <c r="E509" s="221"/>
      <c r="F509" s="221"/>
      <c r="G509" s="221"/>
      <c r="H509" s="221"/>
      <c r="I509" s="221"/>
      <c r="J509" s="221"/>
      <c r="K509" s="221"/>
      <c r="L509" s="221"/>
      <c r="M509" s="221"/>
      <c r="N509" s="221"/>
    </row>
    <row r="510" spans="5:14" x14ac:dyDescent="0.25">
      <c r="E510" s="221"/>
      <c r="F510" s="221"/>
      <c r="G510" s="221"/>
      <c r="H510" s="221"/>
      <c r="I510" s="221"/>
      <c r="J510" s="221"/>
      <c r="K510" s="221"/>
      <c r="L510" s="221"/>
      <c r="M510" s="221"/>
      <c r="N510" s="221"/>
    </row>
    <row r="511" spans="5:14" x14ac:dyDescent="0.25">
      <c r="E511" s="221"/>
      <c r="F511" s="221"/>
      <c r="G511" s="221"/>
      <c r="H511" s="221"/>
      <c r="I511" s="221"/>
      <c r="J511" s="221"/>
      <c r="K511" s="221"/>
      <c r="L511" s="221"/>
      <c r="M511" s="221"/>
      <c r="N511" s="221"/>
    </row>
    <row r="512" spans="5:14" x14ac:dyDescent="0.25">
      <c r="E512" s="221"/>
      <c r="F512" s="221"/>
      <c r="G512" s="221"/>
      <c r="H512" s="221"/>
      <c r="I512" s="221"/>
      <c r="J512" s="221"/>
      <c r="K512" s="221"/>
      <c r="L512" s="221"/>
      <c r="M512" s="221"/>
      <c r="N512" s="221"/>
    </row>
    <row r="513" spans="5:14" x14ac:dyDescent="0.25">
      <c r="E513" s="221"/>
      <c r="F513" s="221"/>
      <c r="G513" s="221"/>
      <c r="H513" s="221"/>
      <c r="I513" s="221"/>
      <c r="J513" s="221"/>
      <c r="K513" s="221"/>
      <c r="L513" s="221"/>
      <c r="M513" s="221"/>
      <c r="N513" s="221"/>
    </row>
    <row r="514" spans="5:14" x14ac:dyDescent="0.25">
      <c r="E514" s="221"/>
      <c r="F514" s="221"/>
      <c r="G514" s="221"/>
      <c r="H514" s="221"/>
      <c r="I514" s="221"/>
      <c r="J514" s="221"/>
      <c r="K514" s="221"/>
      <c r="L514" s="221"/>
      <c r="M514" s="221"/>
      <c r="N514" s="221"/>
    </row>
    <row r="515" spans="5:14" x14ac:dyDescent="0.25">
      <c r="E515" s="221"/>
      <c r="F515" s="221"/>
      <c r="G515" s="221"/>
      <c r="H515" s="221"/>
      <c r="I515" s="221"/>
      <c r="J515" s="221"/>
      <c r="K515" s="221"/>
      <c r="L515" s="221"/>
      <c r="M515" s="221"/>
      <c r="N515" s="221"/>
    </row>
    <row r="516" spans="5:14" x14ac:dyDescent="0.25">
      <c r="E516" s="221"/>
      <c r="F516" s="221"/>
      <c r="G516" s="221"/>
      <c r="H516" s="221"/>
      <c r="I516" s="221"/>
      <c r="J516" s="221"/>
      <c r="K516" s="221"/>
      <c r="L516" s="221"/>
      <c r="M516" s="221"/>
      <c r="N516" s="221"/>
    </row>
    <row r="517" spans="5:14" x14ac:dyDescent="0.25">
      <c r="E517" s="221"/>
      <c r="F517" s="221"/>
      <c r="G517" s="221"/>
      <c r="H517" s="221"/>
      <c r="I517" s="221"/>
      <c r="J517" s="221"/>
      <c r="K517" s="221"/>
      <c r="L517" s="221"/>
      <c r="M517" s="221"/>
      <c r="N517" s="221"/>
    </row>
    <row r="518" spans="5:14" x14ac:dyDescent="0.25">
      <c r="E518" s="221"/>
      <c r="F518" s="221"/>
      <c r="G518" s="221"/>
      <c r="H518" s="221"/>
      <c r="I518" s="221"/>
      <c r="J518" s="221"/>
      <c r="K518" s="221"/>
      <c r="L518" s="221"/>
      <c r="M518" s="221"/>
      <c r="N518" s="221"/>
    </row>
    <row r="519" spans="5:14" x14ac:dyDescent="0.25">
      <c r="E519" s="221"/>
      <c r="F519" s="221"/>
      <c r="G519" s="221"/>
      <c r="H519" s="221"/>
      <c r="I519" s="221"/>
      <c r="J519" s="221"/>
      <c r="K519" s="221"/>
      <c r="L519" s="221"/>
      <c r="M519" s="221"/>
      <c r="N519" s="221"/>
    </row>
    <row r="520" spans="5:14" x14ac:dyDescent="0.25">
      <c r="E520" s="221"/>
      <c r="F520" s="221"/>
      <c r="G520" s="221"/>
      <c r="H520" s="221"/>
      <c r="I520" s="221"/>
      <c r="J520" s="221"/>
      <c r="K520" s="221"/>
      <c r="L520" s="221"/>
      <c r="M520" s="221"/>
      <c r="N520" s="221"/>
    </row>
    <row r="521" spans="5:14" x14ac:dyDescent="0.25">
      <c r="E521" s="221"/>
      <c r="F521" s="221"/>
      <c r="G521" s="221"/>
      <c r="H521" s="221"/>
      <c r="I521" s="221"/>
      <c r="J521" s="221"/>
      <c r="K521" s="221"/>
      <c r="L521" s="221"/>
      <c r="M521" s="221"/>
      <c r="N521" s="221"/>
    </row>
    <row r="522" spans="5:14" x14ac:dyDescent="0.25">
      <c r="E522" s="221"/>
      <c r="F522" s="221"/>
      <c r="G522" s="221"/>
      <c r="H522" s="221"/>
      <c r="I522" s="221"/>
      <c r="J522" s="221"/>
      <c r="K522" s="221"/>
      <c r="L522" s="221"/>
      <c r="M522" s="221"/>
      <c r="N522" s="221"/>
    </row>
    <row r="523" spans="5:14" x14ac:dyDescent="0.25">
      <c r="E523" s="221"/>
      <c r="F523" s="221"/>
      <c r="G523" s="221"/>
      <c r="H523" s="221"/>
      <c r="I523" s="221"/>
      <c r="J523" s="221"/>
      <c r="K523" s="221"/>
      <c r="L523" s="221"/>
      <c r="M523" s="221"/>
      <c r="N523" s="221"/>
    </row>
    <row r="524" spans="5:14" x14ac:dyDescent="0.25">
      <c r="E524" s="221"/>
      <c r="F524" s="221"/>
      <c r="G524" s="221"/>
      <c r="H524" s="221"/>
      <c r="I524" s="221"/>
      <c r="J524" s="221"/>
      <c r="K524" s="221"/>
      <c r="L524" s="221"/>
      <c r="M524" s="221"/>
      <c r="N524" s="221"/>
    </row>
    <row r="525" spans="5:14" x14ac:dyDescent="0.25">
      <c r="E525" s="221"/>
      <c r="F525" s="221"/>
      <c r="G525" s="221"/>
      <c r="H525" s="221"/>
      <c r="I525" s="221"/>
      <c r="J525" s="221"/>
      <c r="K525" s="221"/>
      <c r="L525" s="221"/>
      <c r="M525" s="221"/>
      <c r="N525" s="221"/>
    </row>
    <row r="526" spans="5:14" x14ac:dyDescent="0.25">
      <c r="E526" s="221"/>
      <c r="F526" s="221"/>
      <c r="G526" s="221"/>
      <c r="H526" s="221"/>
      <c r="I526" s="221"/>
      <c r="J526" s="221"/>
      <c r="K526" s="221"/>
      <c r="L526" s="221"/>
      <c r="M526" s="221"/>
      <c r="N526" s="221"/>
    </row>
    <row r="527" spans="5:14" x14ac:dyDescent="0.25">
      <c r="E527" s="221"/>
      <c r="F527" s="221"/>
      <c r="G527" s="221"/>
      <c r="H527" s="221"/>
      <c r="I527" s="221"/>
      <c r="J527" s="221"/>
      <c r="K527" s="221"/>
      <c r="L527" s="221"/>
      <c r="M527" s="221"/>
      <c r="N527" s="221"/>
    </row>
    <row r="528" spans="5:14" x14ac:dyDescent="0.25">
      <c r="E528" s="221"/>
      <c r="F528" s="221"/>
      <c r="G528" s="221"/>
      <c r="H528" s="221"/>
      <c r="I528" s="221"/>
      <c r="J528" s="221"/>
      <c r="K528" s="221"/>
      <c r="L528" s="221"/>
      <c r="M528" s="221"/>
      <c r="N528" s="221"/>
    </row>
    <row r="529" spans="5:14" x14ac:dyDescent="0.25">
      <c r="E529" s="221"/>
      <c r="F529" s="221"/>
      <c r="G529" s="221"/>
      <c r="H529" s="221"/>
      <c r="I529" s="221"/>
      <c r="J529" s="221"/>
      <c r="K529" s="221"/>
      <c r="L529" s="221"/>
      <c r="M529" s="221"/>
      <c r="N529" s="221"/>
    </row>
    <row r="530" spans="5:14" x14ac:dyDescent="0.25">
      <c r="E530" s="221"/>
      <c r="F530" s="221"/>
      <c r="G530" s="221"/>
      <c r="H530" s="221"/>
      <c r="I530" s="221"/>
      <c r="J530" s="221"/>
      <c r="K530" s="221"/>
      <c r="L530" s="221"/>
      <c r="M530" s="221"/>
      <c r="N530" s="221"/>
    </row>
    <row r="531" spans="5:14" x14ac:dyDescent="0.25">
      <c r="E531" s="221"/>
      <c r="F531" s="221"/>
      <c r="G531" s="221"/>
      <c r="H531" s="221"/>
      <c r="I531" s="221"/>
      <c r="J531" s="221"/>
      <c r="K531" s="221"/>
      <c r="L531" s="221"/>
      <c r="M531" s="221"/>
      <c r="N531" s="221"/>
    </row>
    <row r="532" spans="5:14" x14ac:dyDescent="0.25">
      <c r="E532" s="221"/>
      <c r="F532" s="221"/>
      <c r="G532" s="221"/>
      <c r="H532" s="221"/>
      <c r="I532" s="221"/>
      <c r="J532" s="221"/>
      <c r="K532" s="221"/>
      <c r="L532" s="221"/>
      <c r="M532" s="221"/>
      <c r="N532" s="221"/>
    </row>
    <row r="533" spans="5:14" x14ac:dyDescent="0.25">
      <c r="E533" s="221"/>
      <c r="F533" s="221"/>
      <c r="G533" s="221"/>
      <c r="H533" s="221"/>
      <c r="I533" s="221"/>
      <c r="J533" s="221"/>
      <c r="K533" s="221"/>
      <c r="L533" s="221"/>
      <c r="M533" s="221"/>
      <c r="N533" s="221"/>
    </row>
    <row r="534" spans="5:14" x14ac:dyDescent="0.25">
      <c r="E534" s="221"/>
      <c r="F534" s="221"/>
      <c r="G534" s="221"/>
      <c r="H534" s="221"/>
      <c r="I534" s="221"/>
      <c r="J534" s="221"/>
      <c r="K534" s="221"/>
      <c r="L534" s="221"/>
      <c r="M534" s="221"/>
      <c r="N534" s="221"/>
    </row>
    <row r="535" spans="5:14" x14ac:dyDescent="0.25">
      <c r="E535" s="221"/>
      <c r="F535" s="221"/>
      <c r="G535" s="221"/>
      <c r="H535" s="221"/>
      <c r="I535" s="221"/>
      <c r="J535" s="221"/>
      <c r="K535" s="221"/>
      <c r="L535" s="221"/>
      <c r="M535" s="221"/>
      <c r="N535" s="221"/>
    </row>
    <row r="536" spans="5:14" x14ac:dyDescent="0.25">
      <c r="E536" s="221"/>
      <c r="F536" s="221"/>
      <c r="G536" s="221"/>
      <c r="H536" s="221"/>
      <c r="I536" s="221"/>
      <c r="J536" s="221"/>
      <c r="K536" s="221"/>
      <c r="L536" s="221"/>
      <c r="M536" s="221"/>
      <c r="N536" s="221"/>
    </row>
    <row r="537" spans="5:14" x14ac:dyDescent="0.25">
      <c r="E537" s="221"/>
      <c r="F537" s="221"/>
      <c r="G537" s="221"/>
      <c r="H537" s="221"/>
      <c r="I537" s="221"/>
      <c r="J537" s="221"/>
      <c r="K537" s="221"/>
      <c r="L537" s="221"/>
      <c r="M537" s="221"/>
      <c r="N537" s="221"/>
    </row>
    <row r="538" spans="5:14" x14ac:dyDescent="0.25">
      <c r="E538" s="221"/>
      <c r="F538" s="221"/>
      <c r="G538" s="221"/>
      <c r="H538" s="221"/>
      <c r="I538" s="221"/>
      <c r="J538" s="221"/>
      <c r="K538" s="221"/>
      <c r="L538" s="221"/>
      <c r="M538" s="221"/>
      <c r="N538" s="221"/>
    </row>
    <row r="539" spans="5:14" x14ac:dyDescent="0.25">
      <c r="E539" s="221"/>
      <c r="F539" s="221"/>
      <c r="G539" s="221"/>
      <c r="H539" s="221"/>
      <c r="I539" s="221"/>
      <c r="J539" s="221"/>
      <c r="K539" s="221"/>
      <c r="L539" s="221"/>
      <c r="M539" s="221"/>
      <c r="N539" s="221"/>
    </row>
    <row r="540" spans="5:14" x14ac:dyDescent="0.25">
      <c r="E540" s="221"/>
      <c r="F540" s="221"/>
      <c r="G540" s="221"/>
      <c r="H540" s="221"/>
      <c r="I540" s="221"/>
      <c r="J540" s="221"/>
      <c r="K540" s="221"/>
      <c r="L540" s="221"/>
      <c r="M540" s="221"/>
      <c r="N540" s="221"/>
    </row>
    <row r="541" spans="5:14" x14ac:dyDescent="0.25">
      <c r="E541" s="221"/>
      <c r="F541" s="221"/>
      <c r="G541" s="221"/>
      <c r="H541" s="221"/>
      <c r="I541" s="221"/>
      <c r="J541" s="221"/>
      <c r="K541" s="221"/>
      <c r="L541" s="221"/>
      <c r="M541" s="221"/>
      <c r="N541" s="221"/>
    </row>
    <row r="542" spans="5:14" x14ac:dyDescent="0.25">
      <c r="E542" s="221"/>
      <c r="F542" s="221"/>
      <c r="G542" s="221"/>
      <c r="H542" s="221"/>
      <c r="I542" s="221"/>
      <c r="J542" s="221"/>
      <c r="K542" s="221"/>
      <c r="L542" s="221"/>
      <c r="M542" s="221"/>
      <c r="N542" s="221"/>
    </row>
    <row r="543" spans="5:14" x14ac:dyDescent="0.25">
      <c r="E543" s="221"/>
      <c r="F543" s="221"/>
      <c r="G543" s="221"/>
      <c r="H543" s="221"/>
      <c r="I543" s="221"/>
      <c r="J543" s="221"/>
      <c r="K543" s="221"/>
      <c r="L543" s="221"/>
      <c r="M543" s="221"/>
      <c r="N543" s="221"/>
    </row>
    <row r="544" spans="5:14" x14ac:dyDescent="0.25">
      <c r="E544" s="221"/>
      <c r="F544" s="221"/>
      <c r="G544" s="221"/>
      <c r="H544" s="221"/>
      <c r="I544" s="221"/>
      <c r="J544" s="221"/>
      <c r="K544" s="221"/>
      <c r="L544" s="221"/>
      <c r="M544" s="221"/>
      <c r="N544" s="221"/>
    </row>
    <row r="545" spans="5:14" x14ac:dyDescent="0.25">
      <c r="E545" s="221"/>
      <c r="F545" s="221"/>
      <c r="G545" s="221"/>
      <c r="H545" s="221"/>
      <c r="I545" s="221"/>
      <c r="J545" s="221"/>
      <c r="K545" s="221"/>
      <c r="L545" s="221"/>
      <c r="M545" s="221"/>
      <c r="N545" s="221"/>
    </row>
    <row r="546" spans="5:14" x14ac:dyDescent="0.25">
      <c r="E546" s="221"/>
      <c r="F546" s="221"/>
      <c r="G546" s="221"/>
      <c r="H546" s="221"/>
      <c r="I546" s="221"/>
      <c r="J546" s="221"/>
      <c r="K546" s="221"/>
      <c r="L546" s="221"/>
      <c r="M546" s="221"/>
      <c r="N546" s="221"/>
    </row>
    <row r="547" spans="5:14" x14ac:dyDescent="0.25">
      <c r="E547" s="221"/>
      <c r="F547" s="221"/>
      <c r="G547" s="221"/>
      <c r="H547" s="221"/>
      <c r="I547" s="221"/>
      <c r="J547" s="221"/>
      <c r="K547" s="221"/>
      <c r="L547" s="221"/>
      <c r="M547" s="221"/>
      <c r="N547" s="221"/>
    </row>
    <row r="548" spans="5:14" x14ac:dyDescent="0.25">
      <c r="E548" s="221"/>
      <c r="F548" s="221"/>
      <c r="G548" s="221"/>
      <c r="H548" s="221"/>
      <c r="I548" s="221"/>
      <c r="J548" s="221"/>
      <c r="K548" s="221"/>
      <c r="L548" s="221"/>
      <c r="M548" s="221"/>
      <c r="N548" s="221"/>
    </row>
    <row r="549" spans="5:14" x14ac:dyDescent="0.25">
      <c r="E549" s="221"/>
      <c r="F549" s="221"/>
      <c r="G549" s="221"/>
      <c r="H549" s="221"/>
      <c r="I549" s="221"/>
      <c r="J549" s="221"/>
      <c r="K549" s="221"/>
      <c r="L549" s="221"/>
      <c r="M549" s="221"/>
      <c r="N549" s="221"/>
    </row>
    <row r="550" spans="5:14" x14ac:dyDescent="0.25">
      <c r="E550" s="221"/>
      <c r="F550" s="221"/>
      <c r="G550" s="221"/>
      <c r="H550" s="221"/>
      <c r="I550" s="221"/>
      <c r="J550" s="221"/>
      <c r="K550" s="221"/>
      <c r="L550" s="221"/>
      <c r="M550" s="221"/>
      <c r="N550" s="221"/>
    </row>
    <row r="551" spans="5:14" x14ac:dyDescent="0.25">
      <c r="E551" s="221"/>
      <c r="F551" s="221"/>
      <c r="G551" s="221"/>
      <c r="H551" s="221"/>
      <c r="I551" s="221"/>
      <c r="J551" s="221"/>
      <c r="K551" s="221"/>
      <c r="L551" s="221"/>
      <c r="M551" s="221"/>
      <c r="N551" s="221"/>
    </row>
    <row r="552" spans="5:14" x14ac:dyDescent="0.25">
      <c r="E552" s="221"/>
      <c r="F552" s="221"/>
      <c r="G552" s="221"/>
      <c r="H552" s="221"/>
      <c r="I552" s="221"/>
      <c r="J552" s="221"/>
      <c r="K552" s="221"/>
      <c r="L552" s="221"/>
      <c r="M552" s="221"/>
      <c r="N552" s="221"/>
    </row>
    <row r="553" spans="5:14" x14ac:dyDescent="0.25">
      <c r="E553" s="221"/>
      <c r="F553" s="221"/>
      <c r="G553" s="221"/>
      <c r="H553" s="221"/>
      <c r="I553" s="221"/>
      <c r="J553" s="221"/>
      <c r="K553" s="221"/>
      <c r="L553" s="221"/>
      <c r="M553" s="221"/>
      <c r="N553" s="221"/>
    </row>
    <row r="554" spans="5:14" x14ac:dyDescent="0.25">
      <c r="E554" s="221"/>
      <c r="F554" s="221"/>
      <c r="G554" s="221"/>
      <c r="H554" s="221"/>
      <c r="I554" s="221"/>
      <c r="J554" s="221"/>
      <c r="K554" s="221"/>
      <c r="L554" s="221"/>
      <c r="M554" s="221"/>
      <c r="N554" s="221"/>
    </row>
    <row r="555" spans="5:14" x14ac:dyDescent="0.25">
      <c r="E555" s="221"/>
      <c r="F555" s="221"/>
      <c r="G555" s="221"/>
      <c r="H555" s="221"/>
      <c r="I555" s="221"/>
      <c r="J555" s="221"/>
      <c r="K555" s="221"/>
      <c r="L555" s="221"/>
      <c r="M555" s="221"/>
      <c r="N555" s="221"/>
    </row>
    <row r="556" spans="5:14" x14ac:dyDescent="0.25">
      <c r="E556" s="221"/>
      <c r="F556" s="221"/>
      <c r="G556" s="221"/>
      <c r="H556" s="221"/>
      <c r="I556" s="221"/>
      <c r="J556" s="221"/>
      <c r="K556" s="221"/>
      <c r="L556" s="221"/>
      <c r="M556" s="221"/>
      <c r="N556" s="221"/>
    </row>
    <row r="557" spans="5:14" x14ac:dyDescent="0.25">
      <c r="E557" s="221"/>
      <c r="F557" s="221"/>
      <c r="G557" s="221"/>
      <c r="H557" s="221"/>
      <c r="I557" s="221"/>
      <c r="J557" s="221"/>
      <c r="K557" s="221"/>
      <c r="L557" s="221"/>
      <c r="M557" s="221"/>
      <c r="N557" s="221"/>
    </row>
    <row r="558" spans="5:14" x14ac:dyDescent="0.25">
      <c r="E558" s="221"/>
      <c r="F558" s="221"/>
      <c r="G558" s="221"/>
      <c r="H558" s="221"/>
      <c r="I558" s="221"/>
      <c r="J558" s="221"/>
      <c r="K558" s="221"/>
      <c r="L558" s="221"/>
      <c r="M558" s="221"/>
      <c r="N558" s="221"/>
    </row>
    <row r="559" spans="5:14" x14ac:dyDescent="0.25">
      <c r="E559" s="221"/>
      <c r="F559" s="221"/>
      <c r="G559" s="221"/>
      <c r="H559" s="221"/>
      <c r="I559" s="221"/>
      <c r="J559" s="221"/>
      <c r="K559" s="221"/>
      <c r="L559" s="221"/>
      <c r="M559" s="221"/>
      <c r="N559" s="221"/>
    </row>
    <row r="560" spans="5:14" x14ac:dyDescent="0.25">
      <c r="E560" s="221"/>
      <c r="F560" s="221"/>
      <c r="G560" s="221"/>
      <c r="H560" s="221"/>
      <c r="I560" s="221"/>
      <c r="J560" s="221"/>
      <c r="K560" s="221"/>
      <c r="L560" s="221"/>
      <c r="M560" s="221"/>
      <c r="N560" s="221"/>
    </row>
  </sheetData>
  <pageMargins left="0.7" right="0.7" top="0.75" bottom="0.75" header="0.3" footer="0.3"/>
  <ignoredErrors>
    <ignoredError sqref="J16 K16:N16 J75:N75 K82:N82 K85:N85 K83:N83 J86:N86 J87:N87 K90:N90 K30:N30 M28:N28 E117:I117 J128:N128 K142:N142 K143:N143 F146:I146 K144:N144 K146:N146 K145:N145 J150:N150 K160:N160 J163:N163 E164:I164 J171:N171 J212:N212 J214:N214 J216:N216 K129:N129" formula="1"/>
    <ignoredError sqref="J81 F109:J111 F124:I124" formulaRange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393C4-B54C-47F4-A224-D2F668326147}">
  <dimension ref="A1:N41"/>
  <sheetViews>
    <sheetView showGridLines="0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5.75" x14ac:dyDescent="0.25"/>
  <cols>
    <col min="1" max="2" width="3.75" customWidth="1"/>
    <col min="3" max="3" width="39.75" customWidth="1"/>
    <col min="4" max="4" width="11.25" style="18" customWidth="1"/>
    <col min="5" max="5" width="11.375" customWidth="1"/>
  </cols>
  <sheetData>
    <row r="1" spans="1:14" x14ac:dyDescent="0.25">
      <c r="A1" s="6" t="s">
        <v>25</v>
      </c>
      <c r="E1" s="8" t="s">
        <v>15</v>
      </c>
      <c r="F1" s="9"/>
      <c r="G1" s="9"/>
      <c r="H1" s="9"/>
      <c r="I1" s="9"/>
      <c r="J1" s="7" t="s">
        <v>16</v>
      </c>
      <c r="K1" s="2"/>
      <c r="L1" s="2"/>
      <c r="M1" s="2"/>
      <c r="N1" s="2"/>
    </row>
    <row r="2" spans="1:14" x14ac:dyDescent="0.25">
      <c r="D2" s="19" t="s">
        <v>49</v>
      </c>
      <c r="E2" s="12">
        <v>2021</v>
      </c>
      <c r="F2" s="12">
        <v>2022</v>
      </c>
      <c r="G2" s="12">
        <v>2023</v>
      </c>
      <c r="H2" s="12">
        <v>2024</v>
      </c>
      <c r="I2" s="12">
        <v>2025</v>
      </c>
      <c r="J2" s="13">
        <v>2026</v>
      </c>
      <c r="K2" s="13">
        <v>2027</v>
      </c>
      <c r="L2" s="13">
        <v>2028</v>
      </c>
      <c r="M2" s="13">
        <v>2029</v>
      </c>
      <c r="N2" s="13">
        <v>2030</v>
      </c>
    </row>
    <row r="3" spans="1:14" x14ac:dyDescent="0.25">
      <c r="A3" s="1" t="s">
        <v>63</v>
      </c>
    </row>
    <row r="4" spans="1:14" x14ac:dyDescent="0.25">
      <c r="B4" t="s">
        <v>47</v>
      </c>
      <c r="D4" s="18" t="s">
        <v>50</v>
      </c>
      <c r="E4" s="221">
        <f>'Data &amp; Assumptions'!E4*'Data &amp; Assumptions'!E9</f>
        <v>28.746999999999996</v>
      </c>
      <c r="F4" s="221">
        <f>'Data &amp; Assumptions'!F4*'Data &amp; Assumptions'!F9</f>
        <v>29.405999999999999</v>
      </c>
      <c r="G4" s="221">
        <f>'Data &amp; Assumptions'!G4*'Data &amp; Assumptions'!G9</f>
        <v>29.497999999999998</v>
      </c>
      <c r="H4" s="221">
        <f>'Data &amp; Assumptions'!H4*'Data &amp; Assumptions'!H9</f>
        <v>31.024999999999999</v>
      </c>
      <c r="I4" s="221">
        <f>'Data &amp; Assumptions'!I4*'Data &amp; Assumptions'!I9</f>
        <v>35.061</v>
      </c>
      <c r="J4" s="240">
        <f>'Data &amp; Assumptions'!J4*'Data &amp; Assumptions'!J9</f>
        <v>38.715000000000003</v>
      </c>
      <c r="K4" s="240">
        <f>'Data &amp; Assumptions'!K4*'Data &amp; Assumptions'!K9</f>
        <v>39.690000000000005</v>
      </c>
      <c r="L4" s="240">
        <f>'Data &amp; Assumptions'!L4*'Data &amp; Assumptions'!L9</f>
        <v>42.223999999999997</v>
      </c>
      <c r="M4" s="240">
        <f>'Data &amp; Assumptions'!M4*'Data &amp; Assumptions'!M9</f>
        <v>44.558666666666667</v>
      </c>
      <c r="N4" s="240">
        <f>'Data &amp; Assumptions'!N4*'Data &amp; Assumptions'!N9</f>
        <v>46.572333333333333</v>
      </c>
    </row>
    <row r="5" spans="1:14" x14ac:dyDescent="0.25">
      <c r="C5" t="s">
        <v>76</v>
      </c>
      <c r="D5" s="18" t="s">
        <v>50</v>
      </c>
      <c r="E5" s="221">
        <f>E4-('Data &amp; Assumptions'!E5*'Data &amp; Assumptions'!E10)</f>
        <v>26.122599999999995</v>
      </c>
      <c r="F5" s="221">
        <f>F4-('Data &amp; Assumptions'!F5*'Data &amp; Assumptions'!F10)</f>
        <v>26.485799999999998</v>
      </c>
      <c r="G5" s="221">
        <f>G4-('Data &amp; Assumptions'!G5*'Data &amp; Assumptions'!G10)</f>
        <v>26.490999999999996</v>
      </c>
      <c r="H5" s="221">
        <f>H4-('Data &amp; Assumptions'!H5*'Data &amp; Assumptions'!H10)</f>
        <v>28.08</v>
      </c>
      <c r="I5" s="221">
        <f>I4-('Data &amp; Assumptions'!I5*'Data &amp; Assumptions'!I10)</f>
        <v>31.960999999999999</v>
      </c>
      <c r="J5" s="240">
        <f>J4-('Data &amp; Assumptions'!J5*'Data &amp; Assumptions'!J10)</f>
        <v>35.615000000000002</v>
      </c>
      <c r="K5" s="240">
        <f>K4-('Data &amp; Assumptions'!K5*'Data &amp; Assumptions'!K10)</f>
        <v>36.590000000000003</v>
      </c>
      <c r="L5" s="240">
        <f>L4-('Data &amp; Assumptions'!L5*'Data &amp; Assumptions'!L10)</f>
        <v>39.123999999999995</v>
      </c>
      <c r="M5" s="240">
        <f>M4-('Data &amp; Assumptions'!M5*'Data &amp; Assumptions'!M10)</f>
        <v>41.458666666666666</v>
      </c>
      <c r="N5" s="240">
        <f>N4-('Data &amp; Assumptions'!N5*'Data &amp; Assumptions'!N10)</f>
        <v>43.472333333333331</v>
      </c>
    </row>
    <row r="6" spans="1:14" x14ac:dyDescent="0.25">
      <c r="C6" s="6" t="s">
        <v>82</v>
      </c>
      <c r="D6" s="30" t="s">
        <v>50</v>
      </c>
      <c r="E6" s="221"/>
      <c r="F6" s="221">
        <f t="shared" ref="F6:N6" si="0">(E5+F5)/2</f>
        <v>26.304199999999994</v>
      </c>
      <c r="G6" s="221">
        <f t="shared" si="0"/>
        <v>26.488399999999999</v>
      </c>
      <c r="H6" s="221">
        <f t="shared" si="0"/>
        <v>27.285499999999999</v>
      </c>
      <c r="I6" s="221">
        <f t="shared" si="0"/>
        <v>30.020499999999998</v>
      </c>
      <c r="J6" s="240">
        <f t="shared" si="0"/>
        <v>33.787999999999997</v>
      </c>
      <c r="K6" s="240">
        <f t="shared" si="0"/>
        <v>36.102500000000006</v>
      </c>
      <c r="L6" s="240">
        <f t="shared" si="0"/>
        <v>37.856999999999999</v>
      </c>
      <c r="M6" s="240">
        <f t="shared" si="0"/>
        <v>40.291333333333327</v>
      </c>
      <c r="N6" s="240">
        <f t="shared" si="0"/>
        <v>42.465499999999999</v>
      </c>
    </row>
    <row r="7" spans="1:14" x14ac:dyDescent="0.25">
      <c r="C7" t="s">
        <v>77</v>
      </c>
      <c r="D7" s="18" t="s">
        <v>50</v>
      </c>
      <c r="E7" s="221"/>
      <c r="F7" s="221">
        <f>E5-'Data &amp; Assumptions'!F21</f>
        <v>24.228599999999997</v>
      </c>
      <c r="G7" s="221">
        <f>F6-'Data &amp; Assumptions'!G21</f>
        <v>23.234199999999994</v>
      </c>
      <c r="H7" s="221">
        <f>G6-'Data &amp; Assumptions'!H21</f>
        <v>23.999399999999998</v>
      </c>
      <c r="I7" s="221">
        <f>H6-'Data &amp; Assumptions'!I21</f>
        <v>25.1555</v>
      </c>
      <c r="J7" s="240">
        <f>I6-'Data &amp; Assumptions'!J21</f>
        <v>28.872499999999999</v>
      </c>
      <c r="K7" s="240">
        <f>J6-'Data &amp; Assumptions'!K21</f>
        <v>33.020999999999994</v>
      </c>
      <c r="L7" s="240">
        <f>K6-'Data &amp; Assumptions'!L21</f>
        <v>33.748500000000007</v>
      </c>
      <c r="M7" s="240">
        <f>L6-'Data &amp; Assumptions'!M21</f>
        <v>34.716000000000001</v>
      </c>
      <c r="N7" s="240">
        <f>M6-'Data &amp; Assumptions'!N21</f>
        <v>37.031269999999992</v>
      </c>
    </row>
    <row r="8" spans="1:14" x14ac:dyDescent="0.25">
      <c r="B8" t="s">
        <v>116</v>
      </c>
      <c r="D8" s="18" t="s">
        <v>50</v>
      </c>
      <c r="E8" s="221"/>
      <c r="F8" s="221"/>
      <c r="G8" s="221">
        <f t="shared" ref="G8:N8" si="1">(G7+F7)/2</f>
        <v>23.731399999999994</v>
      </c>
      <c r="H8" s="221">
        <f t="shared" si="1"/>
        <v>23.616799999999998</v>
      </c>
      <c r="I8" s="221">
        <f t="shared" si="1"/>
        <v>24.577449999999999</v>
      </c>
      <c r="J8" s="240">
        <f t="shared" si="1"/>
        <v>27.013999999999999</v>
      </c>
      <c r="K8" s="240">
        <f t="shared" si="1"/>
        <v>30.946749999999994</v>
      </c>
      <c r="L8" s="240">
        <f t="shared" si="1"/>
        <v>33.384749999999997</v>
      </c>
      <c r="M8" s="240">
        <f t="shared" si="1"/>
        <v>34.232250000000008</v>
      </c>
      <c r="N8" s="240">
        <f t="shared" si="1"/>
        <v>35.873634999999993</v>
      </c>
    </row>
    <row r="9" spans="1:14" x14ac:dyDescent="0.25">
      <c r="B9" t="s">
        <v>79</v>
      </c>
      <c r="D9" s="18" t="s">
        <v>50</v>
      </c>
      <c r="E9" s="221"/>
      <c r="F9" s="221"/>
      <c r="G9" s="221"/>
      <c r="H9" s="221"/>
      <c r="I9" s="221"/>
      <c r="J9" s="240">
        <f>'Data &amp; Assumptions'!J8</f>
        <v>1.2666666666666668</v>
      </c>
      <c r="K9" s="240">
        <f>'Data &amp; Assumptions'!K8</f>
        <v>0.44999999999999996</v>
      </c>
      <c r="L9" s="240">
        <f>'Data &amp; Assumptions'!L8</f>
        <v>1.4749999999999999</v>
      </c>
      <c r="M9" s="240">
        <f>'Data &amp; Assumptions'!M8</f>
        <v>1.2112822061191626</v>
      </c>
      <c r="N9" s="240">
        <f>'Data &amp; Assumptions'!N8</f>
        <v>1.0891796385757739</v>
      </c>
    </row>
    <row r="10" spans="1:14" x14ac:dyDescent="0.25">
      <c r="B10" t="s">
        <v>70</v>
      </c>
      <c r="D10" s="18" t="s">
        <v>55</v>
      </c>
      <c r="E10" s="221">
        <f>'Data &amp; Assumptions'!E15/('Revenue Schedule'!E5*12)</f>
        <v>66.177692878963043</v>
      </c>
      <c r="F10" s="221">
        <f>'Data &amp; Assumptions'!F15/('Revenue Schedule'!F5*12)</f>
        <v>69.156468749292074</v>
      </c>
      <c r="G10" s="221">
        <f>'Data &amp; Assumptions'!G15/('Revenue Schedule'!G5*12)</f>
        <v>74.21097731304971</v>
      </c>
      <c r="H10" s="221">
        <f>'Data &amp; Assumptions'!H15/('Revenue Schedule'!H5*12)</f>
        <v>83.81214387464388</v>
      </c>
      <c r="I10" s="221">
        <f>'Data &amp; Assumptions'!I15/('Revenue Schedule'!I5*12)</f>
        <v>87.986420950533443</v>
      </c>
      <c r="J10" s="240">
        <f>'Data &amp; Assumptions'!J15/('Revenue Schedule'!J5*12)</f>
        <v>92.82885387853382</v>
      </c>
      <c r="K10" s="240">
        <f>'Data &amp; Assumptions'!K15/('Revenue Schedule'!K5*12)</f>
        <v>97.41366436501086</v>
      </c>
      <c r="L10" s="240">
        <f>'Data &amp; Assumptions'!L15/('Revenue Schedule'!L5*12)</f>
        <v>102.45052653102954</v>
      </c>
      <c r="M10" s="240">
        <f>'Data &amp; Assumptions'!M15/('Revenue Schedule'!M5*12)</f>
        <v>107.66965774123487</v>
      </c>
      <c r="N10" s="240">
        <f>'Data &amp; Assumptions'!N15/('Revenue Schedule'!N5*12)</f>
        <v>113.07544204752548</v>
      </c>
    </row>
    <row r="11" spans="1:14" x14ac:dyDescent="0.25">
      <c r="B11" s="6" t="s">
        <v>81</v>
      </c>
      <c r="C11" s="6"/>
      <c r="D11" s="30" t="s">
        <v>55</v>
      </c>
      <c r="E11" s="221"/>
      <c r="F11" s="221">
        <f t="shared" ref="F11:I11" si="2">AVERAGE(E10:F10)</f>
        <v>67.667080814127559</v>
      </c>
      <c r="G11" s="221">
        <f t="shared" si="2"/>
        <v>71.683723031170899</v>
      </c>
      <c r="H11" s="221">
        <f t="shared" si="2"/>
        <v>79.011560593846795</v>
      </c>
      <c r="I11" s="221">
        <f t="shared" si="2"/>
        <v>85.899282412588661</v>
      </c>
      <c r="J11" s="240">
        <f>(I10+J10)/2</f>
        <v>90.407637414533639</v>
      </c>
      <c r="K11" s="240">
        <f t="shared" ref="K11:N11" si="3">(J10+K10)/2</f>
        <v>95.12125912177234</v>
      </c>
      <c r="L11" s="240">
        <f t="shared" si="3"/>
        <v>99.932095448020192</v>
      </c>
      <c r="M11" s="240">
        <f t="shared" si="3"/>
        <v>105.0600921361322</v>
      </c>
      <c r="N11" s="240">
        <f t="shared" si="3"/>
        <v>110.37254989438017</v>
      </c>
    </row>
    <row r="12" spans="1:14" x14ac:dyDescent="0.25">
      <c r="E12" s="221"/>
      <c r="F12" s="221"/>
      <c r="G12" s="221"/>
      <c r="H12" s="221"/>
      <c r="I12" s="221"/>
      <c r="J12" s="257"/>
      <c r="K12" s="257"/>
      <c r="L12" s="257"/>
      <c r="M12" s="257"/>
      <c r="N12" s="257"/>
    </row>
    <row r="13" spans="1:14" x14ac:dyDescent="0.25">
      <c r="B13" t="s">
        <v>64</v>
      </c>
      <c r="D13" s="18" t="s">
        <v>69</v>
      </c>
      <c r="E13" s="221"/>
      <c r="F13" s="221">
        <f>F7*F11*12</f>
        <v>19673.743610558049</v>
      </c>
      <c r="G13" s="221">
        <f>G8*G11*12</f>
        <v>20413.861256903143</v>
      </c>
      <c r="H13" s="221">
        <f t="shared" ref="H13:N13" si="4">H8*H11*12</f>
        <v>22392.002690793128</v>
      </c>
      <c r="I13" s="221">
        <f t="shared" si="4"/>
        <v>25334.223822375323</v>
      </c>
      <c r="J13" s="240">
        <f t="shared" si="4"/>
        <v>29307.26300539454</v>
      </c>
      <c r="K13" s="240">
        <f t="shared" si="4"/>
        <v>35324.325908720493</v>
      </c>
      <c r="L13" s="240">
        <f t="shared" si="4"/>
        <v>40034.496282099499</v>
      </c>
      <c r="M13" s="240">
        <f t="shared" si="4"/>
        <v>43157.320068325353</v>
      </c>
      <c r="N13" s="240">
        <f t="shared" si="4"/>
        <v>47513.574827163386</v>
      </c>
    </row>
    <row r="14" spans="1:14" x14ac:dyDescent="0.25">
      <c r="B14" t="s">
        <v>261</v>
      </c>
      <c r="D14" s="18" t="s">
        <v>69</v>
      </c>
      <c r="E14" s="221"/>
      <c r="F14" s="221">
        <f>('Data &amp; Assumptions'!F21*('Data &amp; Assumptions'!F22*(1+'Data &amp; Assumptions'!F23))*12)</f>
        <v>1904.3791199999996</v>
      </c>
      <c r="G14" s="221">
        <f>('Data &amp; Assumptions'!G21*('Data &amp; Assumptions'!G22*(1+'Data &amp; Assumptions'!G23))*12)</f>
        <v>2577.3264000000004</v>
      </c>
      <c r="H14" s="221">
        <f>('Data &amp; Assumptions'!H21*('Data &amp; Assumptions'!H22*(1+'Data &amp; Assumptions'!H23))*12)</f>
        <v>2676.1728000000003</v>
      </c>
      <c r="I14" s="221">
        <f>('Data &amp; Assumptions'!I21*('Data &amp; Assumptions'!I22*(1+'Data &amp; Assumptions'!I23))*12)</f>
        <v>2175.6671999999999</v>
      </c>
      <c r="J14" s="240">
        <f>('Data &amp; Assumptions'!J21*('Data &amp; Assumptions'!J22*(1+'Data &amp; Assumptions'!J23))*12)</f>
        <v>1323.0470399999997</v>
      </c>
      <c r="K14" s="240">
        <f>('Data &amp; Assumptions'!K21*('Data &amp; Assumptions'!K22*(1+'Data &amp; Assumptions'!K23))*12)</f>
        <v>801.85248000000013</v>
      </c>
      <c r="L14" s="240">
        <f>('Data &amp; Assumptions'!L21*('Data &amp; Assumptions'!L22*(1+'Data &amp; Assumptions'!L23))*12)</f>
        <v>3316.8801600000006</v>
      </c>
      <c r="M14" s="240">
        <f>('Data &amp; Assumptions'!M21*('Data &amp; Assumptions'!M22*(1+'Data &amp; Assumptions'!M23))*12)</f>
        <v>4125.0124800000003</v>
      </c>
      <c r="N14" s="240">
        <f>('Data &amp; Assumptions'!N21*('Data &amp; Assumptions'!N22*(1+'Data &amp; Assumptions'!N23))*12)</f>
        <v>4303.2836000000007</v>
      </c>
    </row>
    <row r="15" spans="1:14" x14ac:dyDescent="0.25">
      <c r="B15" t="s">
        <v>66</v>
      </c>
      <c r="D15" s="18" t="s">
        <v>69</v>
      </c>
      <c r="E15" s="221"/>
      <c r="F15" s="221"/>
      <c r="G15" s="221"/>
      <c r="H15" s="221"/>
      <c r="I15" s="221"/>
      <c r="J15" s="240">
        <f>J9*'Data &amp; Assumptions'!J17*12</f>
        <v>1659.8400000000001</v>
      </c>
      <c r="K15" s="240">
        <f>K9*'Data &amp; Assumptions'!K17*12</f>
        <v>619.16399999999999</v>
      </c>
      <c r="L15" s="240">
        <f>L9*'Data &amp; Assumptions'!L17*12</f>
        <v>2130.9561000000003</v>
      </c>
      <c r="M15" s="240">
        <f>M9*'Data &amp; Assumptions'!M17*12</f>
        <v>1837.4567228804353</v>
      </c>
      <c r="N15" s="240">
        <f>N9*'Data &amp; Assumptions'!N17*12</f>
        <v>1734.8446639239137</v>
      </c>
    </row>
    <row r="16" spans="1:14" x14ac:dyDescent="0.25">
      <c r="B16" s="4" t="s">
        <v>67</v>
      </c>
      <c r="C16" s="3"/>
      <c r="D16" s="24" t="s">
        <v>69</v>
      </c>
      <c r="E16" s="254"/>
      <c r="F16" s="254">
        <f t="shared" ref="F16:N16" si="5">SUM(F13:F15)</f>
        <v>21578.122730558047</v>
      </c>
      <c r="G16" s="254">
        <f t="shared" si="5"/>
        <v>22991.187656903145</v>
      </c>
      <c r="H16" s="254">
        <f t="shared" si="5"/>
        <v>25068.175490793128</v>
      </c>
      <c r="I16" s="254">
        <f t="shared" si="5"/>
        <v>27509.891022375323</v>
      </c>
      <c r="J16" s="255">
        <f t="shared" si="5"/>
        <v>32290.150045394541</v>
      </c>
      <c r="K16" s="255">
        <f t="shared" si="5"/>
        <v>36745.342388720492</v>
      </c>
      <c r="L16" s="255">
        <f t="shared" si="5"/>
        <v>45482.332542099502</v>
      </c>
      <c r="M16" s="255">
        <f t="shared" si="5"/>
        <v>49119.789271205787</v>
      </c>
      <c r="N16" s="255">
        <f t="shared" si="5"/>
        <v>53551.7030910873</v>
      </c>
    </row>
    <row r="17" spans="1:14" x14ac:dyDescent="0.25"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x14ac:dyDescent="0.25">
      <c r="A18" s="1" t="s">
        <v>22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x14ac:dyDescent="0.25">
      <c r="B19" t="s">
        <v>39</v>
      </c>
      <c r="E19" s="222">
        <v>18475.61</v>
      </c>
      <c r="F19" s="222">
        <v>22162.32</v>
      </c>
      <c r="G19" s="222">
        <v>23798</v>
      </c>
      <c r="H19" s="222">
        <v>25285.61</v>
      </c>
      <c r="I19" s="222">
        <v>28179.86</v>
      </c>
      <c r="J19" s="240">
        <f t="shared" ref="J19:N19" si="6">J16</f>
        <v>32290.150045394541</v>
      </c>
      <c r="K19" s="240">
        <f t="shared" si="6"/>
        <v>36745.342388720492</v>
      </c>
      <c r="L19" s="240">
        <f t="shared" si="6"/>
        <v>45482.332542099502</v>
      </c>
      <c r="M19" s="240">
        <f t="shared" si="6"/>
        <v>49119.789271205787</v>
      </c>
      <c r="N19" s="240">
        <f t="shared" si="6"/>
        <v>53551.7030910873</v>
      </c>
    </row>
    <row r="20" spans="1:14" x14ac:dyDescent="0.25">
      <c r="B20" t="s">
        <v>40</v>
      </c>
      <c r="E20" s="222">
        <v>51.33</v>
      </c>
      <c r="F20" s="222">
        <v>183.83</v>
      </c>
      <c r="G20" s="222">
        <v>217.58</v>
      </c>
      <c r="H20" s="222">
        <v>237.45</v>
      </c>
      <c r="I20" s="222">
        <v>325.01</v>
      </c>
      <c r="J20" s="240">
        <f>'Data &amp; Assumptions'!J59*'Data &amp; Assumptions'!J6</f>
        <v>323.2</v>
      </c>
      <c r="K20" s="240">
        <f>'Data &amp; Assumptions'!K59*'Data &amp; Assumptions'!K6</f>
        <v>328</v>
      </c>
      <c r="L20" s="240">
        <f>'Data &amp; Assumptions'!L59*'Data &amp; Assumptions'!L6</f>
        <v>346.4</v>
      </c>
      <c r="M20" s="240">
        <f>'Data &amp; Assumptions'!M59*'Data &amp; Assumptions'!M6</f>
        <v>362.66666666666663</v>
      </c>
      <c r="N20" s="240">
        <f>'Data &amp; Assumptions'!N59*'Data &amp; Assumptions'!N6</f>
        <v>375.82222222222219</v>
      </c>
    </row>
    <row r="21" spans="1:14" x14ac:dyDescent="0.25">
      <c r="B21" t="s">
        <v>41</v>
      </c>
      <c r="E21" s="222">
        <v>2547.77</v>
      </c>
      <c r="F21" s="222">
        <v>4429.1899999999996</v>
      </c>
      <c r="G21" s="222">
        <v>4394.5600000000004</v>
      </c>
      <c r="H21" s="222">
        <v>4891.33</v>
      </c>
      <c r="I21" s="222">
        <v>5729.04</v>
      </c>
      <c r="J21" s="240">
        <f>J19*'Data &amp; Assumptions'!J61</f>
        <v>6257.9038979555644</v>
      </c>
      <c r="K21" s="240">
        <f>K19*'Data &amp; Assumptions'!K61</f>
        <v>7233.2976800692213</v>
      </c>
      <c r="L21" s="240">
        <f>L19*'Data &amp; Assumptions'!L61</f>
        <v>9004.8085780374331</v>
      </c>
      <c r="M21" s="240">
        <f>M19*'Data &amp; Assumptions'!M61</f>
        <v>9637.8984378110308</v>
      </c>
      <c r="N21" s="240">
        <f>N19*'Data &amp; Assumptions'!N61</f>
        <v>10550.511304267373</v>
      </c>
    </row>
    <row r="22" spans="1:14" x14ac:dyDescent="0.25">
      <c r="B22" t="s">
        <v>42</v>
      </c>
      <c r="E22" s="222">
        <v>99.08</v>
      </c>
      <c r="F22" s="222">
        <v>288.37</v>
      </c>
      <c r="G22" s="222">
        <v>1808.82</v>
      </c>
      <c r="H22" s="222">
        <v>2475.1999999999998</v>
      </c>
      <c r="I22" s="222">
        <v>3061.01</v>
      </c>
      <c r="J22" s="240">
        <f>(('Data &amp; Assumptions'!J46*'Data &amp; Assumptions'!J48)+('Data &amp; Assumptions'!J47*'Data &amp; Assumptions'!J49))/10^6</f>
        <v>3366.2041067519999</v>
      </c>
      <c r="K22" s="240">
        <f>(('Data &amp; Assumptions'!K46*'Data &amp; Assumptions'!K48)+('Data &amp; Assumptions'!K47*'Data &amp; Assumptions'!K49))/10^6</f>
        <v>3805.7471295936007</v>
      </c>
      <c r="L22" s="240">
        <f>(('Data &amp; Assumptions'!L46*'Data &amp; Assumptions'!L48)+('Data &amp; Assumptions'!L47*'Data &amp; Assumptions'!L49))/10^6</f>
        <v>4457.4298098066447</v>
      </c>
      <c r="M22" s="240">
        <f>(('Data &amp; Assumptions'!M46*'Data &amp; Assumptions'!M48)+('Data &amp; Assumptions'!M47*'Data &amp; Assumptions'!M49))/10^6</f>
        <v>5012.5999388243763</v>
      </c>
      <c r="N22" s="240">
        <f>(('Data &amp; Assumptions'!N46*'Data &amp; Assumptions'!N48)+('Data &amp; Assumptions'!N47*'Data &amp; Assumptions'!N49))/10^6</f>
        <v>5513.7463387389816</v>
      </c>
    </row>
    <row r="23" spans="1:14" x14ac:dyDescent="0.25">
      <c r="B23" t="s">
        <v>43</v>
      </c>
      <c r="E23" s="222">
        <v>118.86</v>
      </c>
      <c r="F23" s="222">
        <v>281.99</v>
      </c>
      <c r="G23" s="222">
        <v>1424.31</v>
      </c>
      <c r="H23" s="222">
        <v>1692.29</v>
      </c>
      <c r="I23" s="222">
        <v>1733.87</v>
      </c>
      <c r="J23" s="240">
        <f>'Data &amp; Assumptions'!J52</f>
        <v>1751.4321243919694</v>
      </c>
      <c r="K23" s="240">
        <f>'Data &amp; Assumptions'!K52</f>
        <v>1981.6645528865804</v>
      </c>
      <c r="L23" s="240">
        <f>'Data &amp; Assumptions'!L52</f>
        <v>2540.2228295127093</v>
      </c>
      <c r="M23" s="240">
        <f>'Data &amp; Assumptions'!M52</f>
        <v>2751.1757702003056</v>
      </c>
      <c r="N23" s="240">
        <f>'Data &amp; Assumptions'!N52</f>
        <v>2780.9674500354936</v>
      </c>
    </row>
    <row r="24" spans="1:14" x14ac:dyDescent="0.25">
      <c r="B24" t="s">
        <v>44</v>
      </c>
      <c r="E24" s="222">
        <v>1548.26</v>
      </c>
      <c r="F24" s="222">
        <v>1504.98</v>
      </c>
      <c r="G24" s="222">
        <v>1612.1</v>
      </c>
      <c r="H24" s="222">
        <v>1582.22</v>
      </c>
      <c r="I24" s="222">
        <v>989.94</v>
      </c>
      <c r="J24" s="240">
        <f>'Data &amp; Assumptions'!J28*'Data &amp; Assumptions'!J30</f>
        <v>1071</v>
      </c>
      <c r="K24" s="240">
        <f>'Data &amp; Assumptions'!K28*'Data &amp; Assumptions'!K30</f>
        <v>1128.8340000000001</v>
      </c>
      <c r="L24" s="240">
        <f>'Data &amp; Assumptions'!L28*'Data &amp; Assumptions'!L30</f>
        <v>1188.55296</v>
      </c>
      <c r="M24" s="240">
        <f>'Data &amp; Assumptions'!M28*'Data &amp; Assumptions'!M30</f>
        <v>1212.3240192000001</v>
      </c>
      <c r="N24" s="240">
        <f>'Data &amp; Assumptions'!N28*'Data &amp; Assumptions'!N30</f>
        <v>1236.5704995840001</v>
      </c>
    </row>
    <row r="25" spans="1:14" x14ac:dyDescent="0.25">
      <c r="B25" t="s">
        <v>45</v>
      </c>
      <c r="E25" s="222">
        <v>13.51</v>
      </c>
      <c r="F25" s="222">
        <v>38.340000000000003</v>
      </c>
      <c r="G25" s="222">
        <v>160.41999999999999</v>
      </c>
      <c r="H25" s="222">
        <v>195.22</v>
      </c>
      <c r="I25" s="222">
        <v>244.59</v>
      </c>
      <c r="J25" s="240">
        <f>'Data &amp; Assumptions'!J55*('Revenue Schedule'!J22+'Revenue Schedule'!J23)</f>
        <v>283.19156500459002</v>
      </c>
      <c r="K25" s="240">
        <f>'Data &amp; Assumptions'!K55*('Revenue Schedule'!K22+'Revenue Schedule'!K23)</f>
        <v>312.55363691223175</v>
      </c>
      <c r="L25" s="240">
        <f>'Data &amp; Assumptions'!L55*('Revenue Schedule'!L22+'Revenue Schedule'!L23)</f>
        <v>359.41893563857764</v>
      </c>
      <c r="M25" s="240">
        <f>'Data &amp; Assumptions'!M55*('Revenue Schedule'!M22+'Revenue Schedule'!M23)</f>
        <v>401.47907022092159</v>
      </c>
      <c r="N25" s="240">
        <f>'Data &amp; Assumptions'!N55*('Revenue Schedule'!N22+'Revenue Schedule'!N23)</f>
        <v>437.01106402525357</v>
      </c>
    </row>
    <row r="26" spans="1:14" x14ac:dyDescent="0.25">
      <c r="B26" t="s">
        <v>2</v>
      </c>
      <c r="E26" s="222">
        <v>748.78</v>
      </c>
      <c r="F26" s="222">
        <v>737.03</v>
      </c>
      <c r="G26" s="222">
        <v>779.64</v>
      </c>
      <c r="H26" s="222">
        <v>492.5</v>
      </c>
      <c r="I26" s="222">
        <v>126</v>
      </c>
      <c r="J26" s="240">
        <f>I26*(1+'Data &amp; Assumptions'!J63)</f>
        <v>129.78</v>
      </c>
      <c r="K26" s="240">
        <f>J26*(1+'Data &amp; Assumptions'!K63)</f>
        <v>133.67340000000002</v>
      </c>
      <c r="L26" s="240">
        <f>K26*(1+'Data &amp; Assumptions'!L63)</f>
        <v>137.68360200000001</v>
      </c>
      <c r="M26" s="240">
        <f>L26*(1+'Data &amp; Assumptions'!M63)</f>
        <v>141.81411006000002</v>
      </c>
      <c r="N26" s="240">
        <f>M26*(1+'Data &amp; Assumptions'!N63)</f>
        <v>146.06853336180004</v>
      </c>
    </row>
    <row r="27" spans="1:14" x14ac:dyDescent="0.25">
      <c r="B27" s="4" t="s">
        <v>46</v>
      </c>
      <c r="C27" s="4"/>
      <c r="D27" s="25"/>
      <c r="E27" s="254">
        <f t="shared" ref="E27:N27" si="7">SUM(E19:E26)</f>
        <v>23603.200000000001</v>
      </c>
      <c r="F27" s="254">
        <f t="shared" si="7"/>
        <v>29626.05</v>
      </c>
      <c r="G27" s="254">
        <f t="shared" si="7"/>
        <v>34195.43</v>
      </c>
      <c r="H27" s="254">
        <f t="shared" si="7"/>
        <v>36851.82</v>
      </c>
      <c r="I27" s="254">
        <f t="shared" si="7"/>
        <v>40389.32</v>
      </c>
      <c r="J27" s="255">
        <f t="shared" si="7"/>
        <v>45472.861739498665</v>
      </c>
      <c r="K27" s="255">
        <f t="shared" si="7"/>
        <v>51669.112788182123</v>
      </c>
      <c r="L27" s="255">
        <f t="shared" si="7"/>
        <v>63516.849257094858</v>
      </c>
      <c r="M27" s="255">
        <f t="shared" si="7"/>
        <v>68639.747284189099</v>
      </c>
      <c r="N27" s="255">
        <f t="shared" si="7"/>
        <v>74592.400503322438</v>
      </c>
    </row>
    <row r="28" spans="1:14" x14ac:dyDescent="0.25">
      <c r="B28" s="1"/>
      <c r="C28" s="1"/>
      <c r="D28" s="19"/>
      <c r="E28" s="14"/>
      <c r="F28" s="14"/>
      <c r="G28" s="14"/>
      <c r="H28" s="14"/>
      <c r="I28" s="14"/>
      <c r="J28" s="16"/>
      <c r="K28" s="16"/>
      <c r="L28" s="16"/>
      <c r="M28" s="16"/>
      <c r="N28" s="16"/>
    </row>
    <row r="29" spans="1:14" x14ac:dyDescent="0.25">
      <c r="B29" s="22" t="s">
        <v>1</v>
      </c>
      <c r="C29" s="17"/>
      <c r="E29" s="222">
        <v>971.2</v>
      </c>
      <c r="F29" s="222">
        <v>899.81</v>
      </c>
      <c r="G29" s="222">
        <v>1123.3699999999999</v>
      </c>
      <c r="H29" s="222">
        <v>1305.5999999999999</v>
      </c>
      <c r="I29" s="222">
        <v>876.86</v>
      </c>
      <c r="J29" s="240">
        <f ca="1">'Data &amp; Assumptions'!J64</f>
        <v>1342.6443123722056</v>
      </c>
      <c r="K29" s="240">
        <f ca="1">'Data &amp; Assumptions'!K64</f>
        <v>1914.5334264257483</v>
      </c>
      <c r="L29" s="240">
        <f ca="1">'Data &amp; Assumptions'!L64</f>
        <v>2948.1546627710272</v>
      </c>
      <c r="M29" s="240">
        <f ca="1">'Data &amp; Assumptions'!M64</f>
        <v>3960.4778608318306</v>
      </c>
      <c r="N29" s="240">
        <f ca="1">'Data &amp; Assumptions'!N64</f>
        <v>5093.7665210045207</v>
      </c>
    </row>
    <row r="30" spans="1:14" x14ac:dyDescent="0.25">
      <c r="B30" s="1" t="s">
        <v>2</v>
      </c>
      <c r="E30" s="222">
        <v>214.06</v>
      </c>
      <c r="F30" s="222">
        <v>369.46</v>
      </c>
      <c r="G30" s="222">
        <v>317.87</v>
      </c>
      <c r="H30" s="222">
        <v>725.24</v>
      </c>
      <c r="I30" s="222">
        <v>546.80999999999995</v>
      </c>
      <c r="J30" s="240">
        <f>J19*'Data &amp; Assumptions'!J67</f>
        <v>626.56723441217184</v>
      </c>
      <c r="K30" s="240">
        <f>K19*'Data &amp; Assumptions'!K67</f>
        <v>713.01705088585425</v>
      </c>
      <c r="L30" s="240">
        <f>L19*'Data &amp; Assumptions'!L67</f>
        <v>882.55208710566421</v>
      </c>
      <c r="M30" s="240">
        <f>M19*'Data &amp; Assumptions'!M67</f>
        <v>953.13432967332096</v>
      </c>
      <c r="N30" s="240">
        <f>N19*'Data &amp; Assumptions'!N67</f>
        <v>1039.132443072373</v>
      </c>
    </row>
    <row r="31" spans="1:14" x14ac:dyDescent="0.25">
      <c r="A31" s="4" t="s">
        <v>3</v>
      </c>
      <c r="B31" s="3"/>
      <c r="C31" s="4"/>
      <c r="D31" s="25"/>
      <c r="E31" s="254">
        <f t="shared" ref="E31:N31" si="8">SUM(E30,E29,E27)</f>
        <v>24788.46</v>
      </c>
      <c r="F31" s="254">
        <f t="shared" si="8"/>
        <v>30895.32</v>
      </c>
      <c r="G31" s="254">
        <f t="shared" si="8"/>
        <v>35636.67</v>
      </c>
      <c r="H31" s="254">
        <f t="shared" si="8"/>
        <v>38882.659999999996</v>
      </c>
      <c r="I31" s="254">
        <f t="shared" si="8"/>
        <v>41812.99</v>
      </c>
      <c r="J31" s="255">
        <f t="shared" ca="1" si="8"/>
        <v>47442.073286283041</v>
      </c>
      <c r="K31" s="255">
        <f t="shared" ca="1" si="8"/>
        <v>54296.663265493728</v>
      </c>
      <c r="L31" s="255">
        <f t="shared" ca="1" si="8"/>
        <v>67347.556006971543</v>
      </c>
      <c r="M31" s="255">
        <f t="shared" ca="1" si="8"/>
        <v>73553.359474694254</v>
      </c>
      <c r="N31" s="255">
        <f t="shared" ca="1" si="8"/>
        <v>80725.299467399338</v>
      </c>
    </row>
    <row r="32" spans="1:14" x14ac:dyDescent="0.25">
      <c r="E32" s="10"/>
      <c r="F32" s="10"/>
      <c r="G32" s="10"/>
      <c r="H32" s="10"/>
      <c r="I32" s="140"/>
      <c r="J32" s="10"/>
      <c r="K32" s="10"/>
      <c r="L32" s="10"/>
      <c r="M32" s="10"/>
      <c r="N32" s="10"/>
    </row>
    <row r="33" spans="5:14" x14ac:dyDescent="0.25">
      <c r="E33" s="10"/>
      <c r="F33" s="10"/>
      <c r="G33" s="10"/>
      <c r="H33" s="10"/>
      <c r="I33" s="10"/>
      <c r="K33" s="10"/>
      <c r="L33" s="10"/>
      <c r="M33" s="10"/>
      <c r="N33" s="10"/>
    </row>
    <row r="34" spans="5:14" x14ac:dyDescent="0.25">
      <c r="E34" s="10"/>
      <c r="F34" s="26"/>
      <c r="G34" s="26"/>
      <c r="H34" s="26"/>
      <c r="I34" s="26"/>
      <c r="J34" s="10"/>
      <c r="K34" s="10"/>
      <c r="L34" s="10"/>
      <c r="M34" s="10"/>
      <c r="N34" s="10"/>
    </row>
    <row r="35" spans="5:14" x14ac:dyDescent="0.25"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5:14" x14ac:dyDescent="0.25"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5:14" x14ac:dyDescent="0.25"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5:14" x14ac:dyDescent="0.25"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5:14" x14ac:dyDescent="0.25">
      <c r="E39" s="15"/>
      <c r="F39" s="15"/>
      <c r="G39" s="15"/>
      <c r="H39" s="15"/>
      <c r="I39" s="15"/>
      <c r="J39" s="10"/>
      <c r="K39" s="10"/>
      <c r="L39" s="10"/>
      <c r="M39" s="10"/>
      <c r="N39" s="10"/>
    </row>
    <row r="40" spans="5:14" x14ac:dyDescent="0.25"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5:14" x14ac:dyDescent="0.25">
      <c r="E41" s="10"/>
      <c r="F41" s="10"/>
      <c r="G41" s="10"/>
      <c r="H41" s="10"/>
      <c r="I41" s="10"/>
      <c r="J41" s="10"/>
      <c r="K41" s="10"/>
      <c r="L41" s="10"/>
      <c r="M41" s="10"/>
      <c r="N41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2E8A6-6CC6-4A4A-9FBA-58740BB2CE74}">
  <dimension ref="A1:N312"/>
  <sheetViews>
    <sheetView showGridLines="0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5.75" x14ac:dyDescent="0.25"/>
  <cols>
    <col min="1" max="3" width="3.75" customWidth="1"/>
    <col min="4" max="4" width="35.125" customWidth="1"/>
    <col min="5" max="14" width="11.375" bestFit="1" customWidth="1"/>
  </cols>
  <sheetData>
    <row r="1" spans="1:14" x14ac:dyDescent="0.25">
      <c r="A1" s="6" t="s">
        <v>224</v>
      </c>
      <c r="D1" s="18"/>
      <c r="E1" s="8" t="s">
        <v>15</v>
      </c>
      <c r="F1" s="9"/>
      <c r="G1" s="9"/>
      <c r="H1" s="9"/>
      <c r="I1" s="9"/>
      <c r="J1" s="7" t="s">
        <v>16</v>
      </c>
      <c r="K1" s="2"/>
      <c r="L1" s="2"/>
      <c r="M1" s="2"/>
      <c r="N1" s="2"/>
    </row>
    <row r="2" spans="1:14" x14ac:dyDescent="0.25">
      <c r="D2" s="20"/>
      <c r="E2" s="12">
        <v>2021</v>
      </c>
      <c r="F2" s="12">
        <v>2022</v>
      </c>
      <c r="G2" s="12">
        <v>2023</v>
      </c>
      <c r="H2" s="12">
        <v>2024</v>
      </c>
      <c r="I2" s="12">
        <v>2025</v>
      </c>
      <c r="J2" s="13">
        <v>2026</v>
      </c>
      <c r="K2" s="13">
        <v>2027</v>
      </c>
      <c r="L2" s="13">
        <v>2028</v>
      </c>
      <c r="M2" s="13">
        <v>2029</v>
      </c>
      <c r="N2" s="13">
        <v>2030</v>
      </c>
    </row>
    <row r="3" spans="1:14" x14ac:dyDescent="0.25">
      <c r="A3" s="1" t="s">
        <v>118</v>
      </c>
      <c r="J3" s="17"/>
      <c r="K3" s="17"/>
      <c r="L3" s="17"/>
      <c r="M3" s="17"/>
      <c r="N3" s="17"/>
    </row>
    <row r="4" spans="1:14" x14ac:dyDescent="0.25">
      <c r="B4" t="s">
        <v>200</v>
      </c>
      <c r="E4" s="158">
        <v>21772.74</v>
      </c>
      <c r="F4" s="166">
        <f t="shared" ref="F4:N4" si="0">E7</f>
        <v>24336.100000000002</v>
      </c>
      <c r="G4" s="166">
        <f t="shared" si="0"/>
        <v>33213.79</v>
      </c>
      <c r="H4" s="166">
        <f t="shared" si="0"/>
        <v>33294.730000000003</v>
      </c>
      <c r="I4" s="166">
        <f t="shared" si="0"/>
        <v>33321.670000000006</v>
      </c>
      <c r="J4" s="159">
        <f t="shared" si="0"/>
        <v>33248.030000000006</v>
      </c>
      <c r="K4" s="159">
        <f t="shared" si="0"/>
        <v>33316.519500000009</v>
      </c>
      <c r="L4" s="159">
        <f t="shared" si="0"/>
        <v>33388.775710000009</v>
      </c>
      <c r="M4" s="159">
        <f t="shared" si="0"/>
        <v>33464.911631300012</v>
      </c>
      <c r="N4" s="159">
        <f t="shared" si="0"/>
        <v>33545.043655239017</v>
      </c>
    </row>
    <row r="5" spans="1:14" x14ac:dyDescent="0.25">
      <c r="C5" t="s">
        <v>198</v>
      </c>
      <c r="E5" s="158">
        <f>2118.55+444.81</f>
        <v>2563.36</v>
      </c>
      <c r="F5" s="158">
        <v>8892.9500000000007</v>
      </c>
      <c r="G5" s="158">
        <v>80.94</v>
      </c>
      <c r="H5" s="158">
        <v>44.41</v>
      </c>
      <c r="I5" s="158">
        <v>121.9</v>
      </c>
      <c r="J5" s="159">
        <f>'Data &amp; Assumptions'!J112</f>
        <v>125.557</v>
      </c>
      <c r="K5" s="159">
        <f>'Data &amp; Assumptions'!K112</f>
        <v>129.32371000000001</v>
      </c>
      <c r="L5" s="159">
        <f>'Data &amp; Assumptions'!L112</f>
        <v>133.2034213</v>
      </c>
      <c r="M5" s="159">
        <f>'Data &amp; Assumptions'!M112</f>
        <v>137.19952393900002</v>
      </c>
      <c r="N5" s="159">
        <f>'Data &amp; Assumptions'!N112</f>
        <v>141.31550965717003</v>
      </c>
    </row>
    <row r="6" spans="1:14" x14ac:dyDescent="0.25">
      <c r="C6" t="s">
        <v>199</v>
      </c>
      <c r="E6" s="158">
        <v>0</v>
      </c>
      <c r="F6" s="158">
        <v>15.26</v>
      </c>
      <c r="G6" s="158">
        <v>0</v>
      </c>
      <c r="H6" s="158">
        <v>17.47</v>
      </c>
      <c r="I6" s="158">
        <v>195.54</v>
      </c>
      <c r="J6" s="159">
        <f>AVERAGE(F6:I6)</f>
        <v>57.067499999999995</v>
      </c>
      <c r="K6" s="159">
        <f t="shared" ref="K6:N6" si="1">J6</f>
        <v>57.067499999999995</v>
      </c>
      <c r="L6" s="159">
        <f t="shared" si="1"/>
        <v>57.067499999999995</v>
      </c>
      <c r="M6" s="159">
        <f t="shared" si="1"/>
        <v>57.067499999999995</v>
      </c>
      <c r="N6" s="159">
        <f t="shared" si="1"/>
        <v>57.067499999999995</v>
      </c>
    </row>
    <row r="7" spans="1:14" x14ac:dyDescent="0.25">
      <c r="B7" s="4" t="s">
        <v>180</v>
      </c>
      <c r="C7" s="4"/>
      <c r="D7" s="4"/>
      <c r="E7" s="215">
        <f t="shared" ref="E7:N7" si="2">E4+E5-E6</f>
        <v>24336.100000000002</v>
      </c>
      <c r="F7" s="215">
        <f t="shared" si="2"/>
        <v>33213.79</v>
      </c>
      <c r="G7" s="215">
        <v>33294.730000000003</v>
      </c>
      <c r="H7" s="215">
        <f t="shared" si="2"/>
        <v>33321.670000000006</v>
      </c>
      <c r="I7" s="215">
        <f t="shared" si="2"/>
        <v>33248.030000000006</v>
      </c>
      <c r="J7" s="225">
        <f t="shared" si="2"/>
        <v>33316.519500000009</v>
      </c>
      <c r="K7" s="225">
        <f t="shared" si="2"/>
        <v>33388.775710000009</v>
      </c>
      <c r="L7" s="225">
        <f t="shared" si="2"/>
        <v>33464.911631300012</v>
      </c>
      <c r="M7" s="225">
        <f t="shared" si="2"/>
        <v>33545.043655239017</v>
      </c>
      <c r="N7" s="225">
        <f t="shared" si="2"/>
        <v>33629.291664896191</v>
      </c>
    </row>
    <row r="8" spans="1:14" x14ac:dyDescent="0.25">
      <c r="B8" t="s">
        <v>201</v>
      </c>
      <c r="E8" s="158">
        <v>1073</v>
      </c>
      <c r="F8" s="158">
        <v>2268.75</v>
      </c>
      <c r="G8" s="166">
        <f t="shared" ref="G8:N8" si="3">F12</f>
        <v>2978.68</v>
      </c>
      <c r="H8" s="166">
        <f t="shared" si="3"/>
        <v>4060.47</v>
      </c>
      <c r="I8" s="166">
        <f t="shared" si="3"/>
        <v>4324.83</v>
      </c>
      <c r="J8" s="159">
        <f t="shared" si="3"/>
        <v>7660.3899999999994</v>
      </c>
      <c r="K8" s="159">
        <f t="shared" si="3"/>
        <v>8684.7686226334317</v>
      </c>
      <c r="L8" s="159">
        <f t="shared" si="3"/>
        <v>9707.0628784068213</v>
      </c>
      <c r="M8" s="159">
        <f t="shared" si="3"/>
        <v>10726.470220691817</v>
      </c>
      <c r="N8" s="159">
        <f t="shared" si="3"/>
        <v>11753.456339309516</v>
      </c>
    </row>
    <row r="9" spans="1:14" x14ac:dyDescent="0.25">
      <c r="C9" s="6" t="s">
        <v>208</v>
      </c>
      <c r="E9" s="158">
        <v>674.89</v>
      </c>
      <c r="F9" s="158">
        <v>712.08</v>
      </c>
      <c r="G9" s="158">
        <v>1081.79</v>
      </c>
      <c r="H9" s="158">
        <v>1080.98</v>
      </c>
      <c r="I9" s="158">
        <v>1042.49</v>
      </c>
      <c r="J9" s="159">
        <f>J7*'Data &amp; Assumptions'!J115</f>
        <v>1069.3161226334319</v>
      </c>
      <c r="K9" s="159">
        <f>K7*'Data &amp; Assumptions'!K115</f>
        <v>1067.2317557733886</v>
      </c>
      <c r="L9" s="159">
        <f>L7*'Data &amp; Assumptions'!L115</f>
        <v>1064.3448422849965</v>
      </c>
      <c r="M9" s="159">
        <f>M7*'Data &amp; Assumptions'!M115</f>
        <v>1071.9236186176995</v>
      </c>
      <c r="N9" s="159">
        <f>N7*'Data &amp; Assumptions'!N115</f>
        <v>1073.036072114164</v>
      </c>
    </row>
    <row r="10" spans="1:14" x14ac:dyDescent="0.25">
      <c r="C10" t="s">
        <v>199</v>
      </c>
      <c r="E10" s="158">
        <v>0</v>
      </c>
      <c r="F10" s="158">
        <v>2.15</v>
      </c>
      <c r="G10" s="158">
        <v>0</v>
      </c>
      <c r="H10" s="158">
        <v>10.050000000000001</v>
      </c>
      <c r="I10" s="158">
        <v>167.55</v>
      </c>
      <c r="J10" s="159">
        <f>AVERAGE(F10:I10)</f>
        <v>44.9375</v>
      </c>
      <c r="K10" s="159">
        <f t="shared" ref="K10:N10" si="4">J10</f>
        <v>44.9375</v>
      </c>
      <c r="L10" s="159">
        <f t="shared" si="4"/>
        <v>44.9375</v>
      </c>
      <c r="M10" s="159">
        <f t="shared" si="4"/>
        <v>44.9375</v>
      </c>
      <c r="N10" s="159">
        <f t="shared" si="4"/>
        <v>44.9375</v>
      </c>
    </row>
    <row r="11" spans="1:14" x14ac:dyDescent="0.25">
      <c r="C11" t="s">
        <v>12</v>
      </c>
      <c r="E11" s="158">
        <v>520.04999999999995</v>
      </c>
      <c r="F11" s="158">
        <v>0</v>
      </c>
      <c r="G11" s="158">
        <v>0</v>
      </c>
      <c r="H11" s="158">
        <f>-806.57</f>
        <v>-806.57</v>
      </c>
      <c r="I11" s="158">
        <v>2460.62</v>
      </c>
      <c r="J11" s="159">
        <v>0</v>
      </c>
      <c r="K11" s="159">
        <v>0</v>
      </c>
      <c r="L11" s="159">
        <v>0</v>
      </c>
      <c r="M11" s="159">
        <v>0</v>
      </c>
      <c r="N11" s="159">
        <v>0</v>
      </c>
    </row>
    <row r="12" spans="1:14" x14ac:dyDescent="0.25">
      <c r="B12" s="4" t="s">
        <v>202</v>
      </c>
      <c r="C12" s="3"/>
      <c r="D12" s="3"/>
      <c r="E12" s="215">
        <f t="shared" ref="E12:G12" si="5">E8+E9-E10+E11</f>
        <v>2267.9399999999996</v>
      </c>
      <c r="F12" s="215">
        <f t="shared" si="5"/>
        <v>2978.68</v>
      </c>
      <c r="G12" s="215">
        <f t="shared" si="5"/>
        <v>4060.47</v>
      </c>
      <c r="H12" s="215">
        <f>H8+H9-H10+H11</f>
        <v>4324.83</v>
      </c>
      <c r="I12" s="215">
        <f>I8+I9-I10+I11</f>
        <v>7660.3899999999994</v>
      </c>
      <c r="J12" s="225">
        <f t="shared" ref="J12:N12" si="6">J8+J9-J10+J11</f>
        <v>8684.7686226334317</v>
      </c>
      <c r="K12" s="225">
        <f t="shared" si="6"/>
        <v>9707.0628784068213</v>
      </c>
      <c r="L12" s="225">
        <f t="shared" si="6"/>
        <v>10726.470220691817</v>
      </c>
      <c r="M12" s="225">
        <f t="shared" si="6"/>
        <v>11753.456339309516</v>
      </c>
      <c r="N12" s="225">
        <f t="shared" si="6"/>
        <v>12781.55491142368</v>
      </c>
    </row>
    <row r="13" spans="1:14" ht="16.5" thickBot="1" x14ac:dyDescent="0.3">
      <c r="B13" s="11" t="s">
        <v>207</v>
      </c>
      <c r="C13" s="11"/>
      <c r="D13" s="11"/>
      <c r="E13" s="216">
        <f t="shared" ref="E13:N13" si="7">E7-E12</f>
        <v>22068.160000000003</v>
      </c>
      <c r="F13" s="216">
        <f t="shared" si="7"/>
        <v>30235.11</v>
      </c>
      <c r="G13" s="216">
        <f t="shared" si="7"/>
        <v>29234.260000000002</v>
      </c>
      <c r="H13" s="216">
        <f t="shared" si="7"/>
        <v>28996.840000000004</v>
      </c>
      <c r="I13" s="216">
        <f>I7-I12</f>
        <v>25587.640000000007</v>
      </c>
      <c r="J13" s="226">
        <f t="shared" si="7"/>
        <v>24631.750877366576</v>
      </c>
      <c r="K13" s="226">
        <f t="shared" si="7"/>
        <v>23681.712831593188</v>
      </c>
      <c r="L13" s="226">
        <f t="shared" si="7"/>
        <v>22738.441410608197</v>
      </c>
      <c r="M13" s="226">
        <f t="shared" si="7"/>
        <v>21791.587315929501</v>
      </c>
      <c r="N13" s="226">
        <f t="shared" si="7"/>
        <v>20847.736753472513</v>
      </c>
    </row>
    <row r="14" spans="1:14" ht="16.5" thickTop="1" x14ac:dyDescent="0.25"/>
    <row r="15" spans="1:14" x14ac:dyDescent="0.25">
      <c r="A15" s="1" t="s">
        <v>213</v>
      </c>
      <c r="J15" s="17"/>
      <c r="K15" s="17"/>
      <c r="L15" s="17"/>
      <c r="M15" s="17"/>
      <c r="N15" s="17"/>
    </row>
    <row r="16" spans="1:14" x14ac:dyDescent="0.25">
      <c r="B16" t="s">
        <v>200</v>
      </c>
      <c r="E16" s="158">
        <v>198488.8</v>
      </c>
      <c r="F16" s="166">
        <f t="shared" ref="F16:N16" si="8">E20</f>
        <v>281040.17</v>
      </c>
      <c r="G16" s="166">
        <f t="shared" si="8"/>
        <v>294494.20999999996</v>
      </c>
      <c r="H16" s="166">
        <f t="shared" si="8"/>
        <v>301562.74999999994</v>
      </c>
      <c r="I16" s="166">
        <f t="shared" si="8"/>
        <v>324830.46999999991</v>
      </c>
      <c r="J16" s="159">
        <f t="shared" si="8"/>
        <v>357186.96999999991</v>
      </c>
      <c r="K16" s="159">
        <f t="shared" si="8"/>
        <v>376029.18314785219</v>
      </c>
      <c r="L16" s="159">
        <f t="shared" si="8"/>
        <v>390294.90557563805</v>
      </c>
      <c r="M16" s="159">
        <f t="shared" si="8"/>
        <v>402589.99499676819</v>
      </c>
      <c r="N16" s="159">
        <f t="shared" si="8"/>
        <v>413696.7991686961</v>
      </c>
    </row>
    <row r="17" spans="1:14" x14ac:dyDescent="0.25">
      <c r="B17" t="s">
        <v>198</v>
      </c>
      <c r="E17" s="158">
        <v>1205.22</v>
      </c>
      <c r="F17" s="158">
        <v>13469.91</v>
      </c>
      <c r="G17" s="158">
        <v>7092.1</v>
      </c>
      <c r="H17" s="158">
        <v>23369.61</v>
      </c>
      <c r="I17" s="158">
        <v>29735.759999999998</v>
      </c>
      <c r="J17" s="159">
        <f>'Data &amp; Assumptions'!J116</f>
        <v>18909.750647852252</v>
      </c>
      <c r="K17" s="159">
        <f>'Data &amp; Assumptions'!K116</f>
        <v>14333.259927785848</v>
      </c>
      <c r="L17" s="159">
        <f>'Data &amp; Assumptions'!L116</f>
        <v>12362.626921130095</v>
      </c>
      <c r="M17" s="159">
        <f>'Data &amp; Assumptions'!M116</f>
        <v>11174.341671927903</v>
      </c>
      <c r="N17" s="159">
        <f>'Data &amp; Assumptions'!N116</f>
        <v>9420.2207217073319</v>
      </c>
    </row>
    <row r="18" spans="1:14" x14ac:dyDescent="0.25">
      <c r="B18" t="s">
        <v>206</v>
      </c>
      <c r="E18" s="158">
        <v>81474.98</v>
      </c>
      <c r="F18" s="158">
        <v>0</v>
      </c>
      <c r="G18" s="158">
        <v>0</v>
      </c>
      <c r="H18" s="158">
        <v>0</v>
      </c>
      <c r="I18" s="158">
        <v>6713.2</v>
      </c>
      <c r="J18" s="159">
        <v>0</v>
      </c>
      <c r="K18" s="159">
        <v>0</v>
      </c>
      <c r="L18" s="159">
        <v>0</v>
      </c>
      <c r="M18" s="159">
        <v>0</v>
      </c>
      <c r="N18" s="159">
        <v>0</v>
      </c>
    </row>
    <row r="19" spans="1:14" x14ac:dyDescent="0.25">
      <c r="B19" t="s">
        <v>199</v>
      </c>
      <c r="E19" s="158">
        <v>128.83000000000001</v>
      </c>
      <c r="F19" s="158">
        <v>15.87</v>
      </c>
      <c r="G19" s="158">
        <v>23.56</v>
      </c>
      <c r="H19" s="158">
        <v>101.89</v>
      </c>
      <c r="I19" s="158">
        <v>4092.46</v>
      </c>
      <c r="J19" s="159">
        <f>AVERAGE(E19:H19)</f>
        <v>67.537500000000009</v>
      </c>
      <c r="K19" s="159">
        <f t="shared" ref="K19:N19" si="9">J19</f>
        <v>67.537500000000009</v>
      </c>
      <c r="L19" s="159">
        <f t="shared" si="9"/>
        <v>67.537500000000009</v>
      </c>
      <c r="M19" s="159">
        <f t="shared" si="9"/>
        <v>67.537500000000009</v>
      </c>
      <c r="N19" s="159">
        <f t="shared" si="9"/>
        <v>67.537500000000009</v>
      </c>
    </row>
    <row r="20" spans="1:14" x14ac:dyDescent="0.25">
      <c r="B20" s="4" t="s">
        <v>180</v>
      </c>
      <c r="C20" s="3"/>
      <c r="D20" s="3"/>
      <c r="E20" s="215">
        <f>E16+E17+E18-E19</f>
        <v>281040.17</v>
      </c>
      <c r="F20" s="215">
        <f t="shared" ref="F20:N20" si="10">F16+F17+F18-F19</f>
        <v>294494.20999999996</v>
      </c>
      <c r="G20" s="215">
        <f t="shared" si="10"/>
        <v>301562.74999999994</v>
      </c>
      <c r="H20" s="215">
        <f t="shared" si="10"/>
        <v>324830.46999999991</v>
      </c>
      <c r="I20" s="215">
        <f t="shared" si="10"/>
        <v>357186.96999999991</v>
      </c>
      <c r="J20" s="225">
        <f t="shared" si="10"/>
        <v>376029.18314785219</v>
      </c>
      <c r="K20" s="225">
        <f t="shared" si="10"/>
        <v>390294.90557563805</v>
      </c>
      <c r="L20" s="225">
        <f t="shared" si="10"/>
        <v>402589.99499676819</v>
      </c>
      <c r="M20" s="225">
        <f t="shared" si="10"/>
        <v>413696.7991686961</v>
      </c>
      <c r="N20" s="225">
        <f t="shared" si="10"/>
        <v>423049.48239040346</v>
      </c>
    </row>
    <row r="21" spans="1:14" x14ac:dyDescent="0.25">
      <c r="B21" t="s">
        <v>201</v>
      </c>
      <c r="E21" s="158">
        <v>4412.32</v>
      </c>
      <c r="F21" s="166">
        <f>E25</f>
        <v>8694.41</v>
      </c>
      <c r="G21" s="166">
        <f t="shared" ref="G21:N21" si="11">F25</f>
        <v>13971.98</v>
      </c>
      <c r="H21" s="166">
        <f t="shared" si="11"/>
        <v>22046.65</v>
      </c>
      <c r="I21" s="166">
        <f t="shared" si="11"/>
        <v>28407.450000000004</v>
      </c>
      <c r="J21" s="159">
        <f t="shared" si="11"/>
        <v>32782.300000000003</v>
      </c>
      <c r="K21" s="159">
        <f t="shared" si="11"/>
        <v>41158.155607260123</v>
      </c>
      <c r="L21" s="159">
        <f t="shared" si="11"/>
        <v>50024.566196434527</v>
      </c>
      <c r="M21" s="159">
        <f t="shared" si="11"/>
        <v>59550.13657295482</v>
      </c>
      <c r="N21" s="159">
        <f t="shared" si="11"/>
        <v>69085.346970389786</v>
      </c>
    </row>
    <row r="22" spans="1:14" x14ac:dyDescent="0.25">
      <c r="C22" s="6" t="s">
        <v>208</v>
      </c>
      <c r="E22" s="158">
        <v>4265.26</v>
      </c>
      <c r="F22" s="158">
        <v>5284</v>
      </c>
      <c r="G22" s="158">
        <v>8083.13</v>
      </c>
      <c r="H22" s="158">
        <v>6491.26</v>
      </c>
      <c r="I22" s="158">
        <v>8255.48</v>
      </c>
      <c r="J22" s="159">
        <f>AVERAGE(J16,J20)*'Data &amp; Assumptions'!J118</f>
        <v>8408.3681072601212</v>
      </c>
      <c r="K22" s="159">
        <f>AVERAGE(K16,K20)*'Data &amp; Assumptions'!K118</f>
        <v>8898.9230891744028</v>
      </c>
      <c r="L22" s="159">
        <f>AVERAGE(L16,L20)*'Data &amp; Assumptions'!L118</f>
        <v>9558.0828765202896</v>
      </c>
      <c r="M22" s="159">
        <f>AVERAGE(M16,M20)*'Data &amp; Assumptions'!M118</f>
        <v>9567.7228974349691</v>
      </c>
      <c r="N22" s="159">
        <f>AVERAGE(N16,N20)*'Data &amp; Assumptions'!N118</f>
        <v>9967.9048538128282</v>
      </c>
    </row>
    <row r="23" spans="1:14" x14ac:dyDescent="0.25">
      <c r="C23" t="s">
        <v>199</v>
      </c>
      <c r="E23" s="158">
        <v>14.88</v>
      </c>
      <c r="F23" s="158">
        <v>6.43</v>
      </c>
      <c r="G23" s="158">
        <v>8.4600000000000009</v>
      </c>
      <c r="H23" s="158">
        <v>100.28</v>
      </c>
      <c r="I23" s="158">
        <v>4080.63</v>
      </c>
      <c r="J23" s="159">
        <f>AVERAGE(E23:H23)</f>
        <v>32.512500000000003</v>
      </c>
      <c r="K23" s="159">
        <f t="shared" ref="K23:N23" si="12">J23</f>
        <v>32.512500000000003</v>
      </c>
      <c r="L23" s="159">
        <f t="shared" si="12"/>
        <v>32.512500000000003</v>
      </c>
      <c r="M23" s="159">
        <f t="shared" si="12"/>
        <v>32.512500000000003</v>
      </c>
      <c r="N23" s="159">
        <f t="shared" si="12"/>
        <v>32.512500000000003</v>
      </c>
    </row>
    <row r="24" spans="1:14" x14ac:dyDescent="0.25">
      <c r="C24" t="s">
        <v>12</v>
      </c>
      <c r="E24" s="158">
        <v>31.71</v>
      </c>
      <c r="F24" s="158">
        <v>0</v>
      </c>
      <c r="G24" s="158">
        <v>0</v>
      </c>
      <c r="H24" s="158">
        <f>-30.18</f>
        <v>-30.18</v>
      </c>
      <c r="I24" s="158">
        <v>200</v>
      </c>
      <c r="J24" s="159">
        <v>0</v>
      </c>
      <c r="K24" s="159">
        <v>0</v>
      </c>
      <c r="L24" s="159">
        <v>0</v>
      </c>
      <c r="M24" s="159">
        <v>0</v>
      </c>
      <c r="N24" s="159">
        <v>0</v>
      </c>
    </row>
    <row r="25" spans="1:14" x14ac:dyDescent="0.25">
      <c r="B25" s="4" t="s">
        <v>202</v>
      </c>
      <c r="C25" s="3"/>
      <c r="D25" s="3"/>
      <c r="E25" s="215">
        <f>E21+E22-E23+E24</f>
        <v>8694.41</v>
      </c>
      <c r="F25" s="215">
        <f>F21+F22-F23+F24</f>
        <v>13971.98</v>
      </c>
      <c r="G25" s="215">
        <f t="shared" ref="G25:N25" si="13">G21+G22-G23+G24</f>
        <v>22046.65</v>
      </c>
      <c r="H25" s="215">
        <f t="shared" si="13"/>
        <v>28407.450000000004</v>
      </c>
      <c r="I25" s="215">
        <f t="shared" si="13"/>
        <v>32782.300000000003</v>
      </c>
      <c r="J25" s="225">
        <f t="shared" si="13"/>
        <v>41158.155607260123</v>
      </c>
      <c r="K25" s="225">
        <f t="shared" si="13"/>
        <v>50024.566196434527</v>
      </c>
      <c r="L25" s="225">
        <f t="shared" si="13"/>
        <v>59550.13657295482</v>
      </c>
      <c r="M25" s="225">
        <f t="shared" si="13"/>
        <v>69085.346970389786</v>
      </c>
      <c r="N25" s="225">
        <f t="shared" si="13"/>
        <v>79020.739324202616</v>
      </c>
    </row>
    <row r="26" spans="1:14" ht="16.5" thickBot="1" x14ac:dyDescent="0.3">
      <c r="B26" s="11" t="s">
        <v>207</v>
      </c>
      <c r="C26" s="11"/>
      <c r="D26" s="11"/>
      <c r="E26" s="216">
        <f t="shared" ref="E26:N26" si="14">E20-E25</f>
        <v>272345.76</v>
      </c>
      <c r="F26" s="216">
        <f t="shared" si="14"/>
        <v>280522.23</v>
      </c>
      <c r="G26" s="216">
        <f t="shared" si="14"/>
        <v>279516.09999999992</v>
      </c>
      <c r="H26" s="216">
        <f t="shared" si="14"/>
        <v>296423.0199999999</v>
      </c>
      <c r="I26" s="216">
        <f t="shared" si="14"/>
        <v>324404.66999999993</v>
      </c>
      <c r="J26" s="226">
        <f t="shared" si="14"/>
        <v>334871.02754059207</v>
      </c>
      <c r="K26" s="226">
        <f t="shared" si="14"/>
        <v>340270.33937920351</v>
      </c>
      <c r="L26" s="226">
        <f t="shared" si="14"/>
        <v>343039.85842381336</v>
      </c>
      <c r="M26" s="226">
        <f t="shared" si="14"/>
        <v>344611.45219830633</v>
      </c>
      <c r="N26" s="226">
        <f t="shared" si="14"/>
        <v>344028.74306620087</v>
      </c>
    </row>
    <row r="27" spans="1:14" ht="16.5" thickTop="1" x14ac:dyDescent="0.25"/>
    <row r="28" spans="1:14" x14ac:dyDescent="0.25">
      <c r="A28" s="1" t="s">
        <v>212</v>
      </c>
      <c r="E28" s="213"/>
      <c r="F28" s="213"/>
      <c r="G28" s="213"/>
      <c r="H28" s="213"/>
      <c r="I28" s="213"/>
      <c r="J28" s="17"/>
      <c r="K28" s="17"/>
      <c r="L28" s="17"/>
      <c r="M28" s="17"/>
      <c r="N28" s="17"/>
    </row>
    <row r="29" spans="1:14" x14ac:dyDescent="0.25">
      <c r="B29" t="s">
        <v>179</v>
      </c>
      <c r="E29" s="166"/>
      <c r="F29" s="166"/>
      <c r="G29" s="166">
        <f t="shared" ref="G29:N29" si="15">F33</f>
        <v>6779.98</v>
      </c>
      <c r="H29" s="166">
        <f t="shared" si="15"/>
        <v>12063.699999999997</v>
      </c>
      <c r="I29" s="166">
        <f t="shared" si="15"/>
        <v>16523.469999999998</v>
      </c>
      <c r="J29" s="159">
        <f t="shared" si="15"/>
        <v>17735.3</v>
      </c>
      <c r="K29" s="159">
        <f t="shared" si="15"/>
        <v>17378.642762490701</v>
      </c>
      <c r="L29" s="159">
        <f t="shared" si="15"/>
        <v>16578.648121121434</v>
      </c>
      <c r="M29" s="159">
        <f t="shared" si="15"/>
        <v>13695.045638581949</v>
      </c>
      <c r="N29" s="159">
        <f t="shared" si="15"/>
        <v>7676.5819543446341</v>
      </c>
    </row>
    <row r="30" spans="1:14" x14ac:dyDescent="0.25">
      <c r="C30" t="s">
        <v>209</v>
      </c>
      <c r="E30" s="166"/>
      <c r="F30" s="166"/>
      <c r="G30" s="158">
        <v>8363.23</v>
      </c>
      <c r="H30" s="158">
        <v>11889.52</v>
      </c>
      <c r="I30" s="158">
        <v>16885.48</v>
      </c>
      <c r="J30" s="159">
        <f>J29*'Data &amp; Assumptions'!J120+'Debt Schedule'!J12</f>
        <v>16834.025169629109</v>
      </c>
      <c r="K30" s="159">
        <f>K29*'Data &amp; Assumptions'!K120+'Debt Schedule'!K12</f>
        <v>12230.241656617869</v>
      </c>
      <c r="L30" s="159">
        <f>L29*'Data &amp; Assumptions'!L120+'Debt Schedule'!L12</f>
        <v>8355.1492639424196</v>
      </c>
      <c r="M30" s="159">
        <f>M29*'Data &amp; Assumptions'!M120+'Debt Schedule'!M12</f>
        <v>4140.0287447880501</v>
      </c>
      <c r="N30" s="159">
        <f>N29*'Data &amp; Assumptions'!N120+'Debt Schedule'!N12</f>
        <v>2328.6218852227948</v>
      </c>
    </row>
    <row r="31" spans="1:14" x14ac:dyDescent="0.25">
      <c r="C31" t="s">
        <v>210</v>
      </c>
      <c r="E31" s="166"/>
      <c r="F31" s="166"/>
      <c r="G31" s="158">
        <v>4023.12</v>
      </c>
      <c r="H31" s="158">
        <v>0</v>
      </c>
      <c r="I31" s="158">
        <v>5568.97</v>
      </c>
      <c r="J31" s="159">
        <v>0</v>
      </c>
      <c r="K31" s="159">
        <v>0</v>
      </c>
      <c r="L31" s="159">
        <v>0</v>
      </c>
      <c r="M31" s="159">
        <v>0</v>
      </c>
      <c r="N31" s="159">
        <v>0</v>
      </c>
    </row>
    <row r="32" spans="1:14" x14ac:dyDescent="0.25">
      <c r="C32" t="s">
        <v>211</v>
      </c>
      <c r="E32" s="166"/>
      <c r="F32" s="166"/>
      <c r="G32" s="158">
        <v>7102.63</v>
      </c>
      <c r="H32" s="158">
        <v>7429.75</v>
      </c>
      <c r="I32" s="158">
        <v>21242.62</v>
      </c>
      <c r="J32" s="159">
        <f>('Data &amp; Assumptions'!J100*'Data &amp; Assumptions'!J7)+'Data &amp; Assumptions'!I104+(0.8*'Data &amp; Assumptions'!J106)</f>
        <v>17190.682407138411</v>
      </c>
      <c r="K32" s="159">
        <f>('Data &amp; Assumptions'!K100*'Data &amp; Assumptions'!K7)+('Data &amp; Assumptions'!G101)+(0.8*'Data &amp; Assumptions'!K106)</f>
        <v>13030.236297987134</v>
      </c>
      <c r="L32" s="159">
        <f>'Data &amp; Assumptions'!L100*'Data &amp; Assumptions'!L7+(0.8*'Data &amp; Assumptions'!L106)</f>
        <v>11238.751746481903</v>
      </c>
      <c r="M32" s="159">
        <f>'Data &amp; Assumptions'!M100*'Data &amp; Assumptions'!M7+(0.8*'Data &amp; Assumptions'!M106)</f>
        <v>10158.492429025366</v>
      </c>
      <c r="N32" s="159">
        <f>'Data &amp; Assumptions'!N100*'Data &amp; Assumptions'!N7+(0.8*'Data &amp; Assumptions'!N106)</f>
        <v>8563.8370197339373</v>
      </c>
    </row>
    <row r="33" spans="1:14" x14ac:dyDescent="0.25">
      <c r="B33" s="4" t="s">
        <v>180</v>
      </c>
      <c r="C33" s="4"/>
      <c r="D33" s="4"/>
      <c r="E33" s="217"/>
      <c r="F33" s="218">
        <v>6779.98</v>
      </c>
      <c r="G33" s="217">
        <f t="shared" ref="G33:N33" si="16">G29+G30+G31-G32</f>
        <v>12063.699999999997</v>
      </c>
      <c r="H33" s="217">
        <f t="shared" si="16"/>
        <v>16523.469999999998</v>
      </c>
      <c r="I33" s="217">
        <f t="shared" si="16"/>
        <v>17735.3</v>
      </c>
      <c r="J33" s="227">
        <f t="shared" si="16"/>
        <v>17378.642762490701</v>
      </c>
      <c r="K33" s="227">
        <f t="shared" si="16"/>
        <v>16578.648121121434</v>
      </c>
      <c r="L33" s="227">
        <f t="shared" si="16"/>
        <v>13695.045638581949</v>
      </c>
      <c r="M33" s="227">
        <f t="shared" si="16"/>
        <v>7676.5819543446341</v>
      </c>
      <c r="N33" s="227">
        <f t="shared" si="16"/>
        <v>1441.3668198334908</v>
      </c>
    </row>
    <row r="35" spans="1:14" x14ac:dyDescent="0.25">
      <c r="A35" s="1" t="s">
        <v>123</v>
      </c>
      <c r="G35" s="214"/>
      <c r="H35" s="214"/>
      <c r="I35" s="214"/>
      <c r="J35" s="17"/>
      <c r="K35" s="17"/>
      <c r="L35" s="17"/>
      <c r="M35" s="17"/>
      <c r="N35" s="17"/>
    </row>
    <row r="36" spans="1:14" x14ac:dyDescent="0.25">
      <c r="B36" t="s">
        <v>200</v>
      </c>
      <c r="E36" s="158">
        <v>5162.6000000000004</v>
      </c>
      <c r="F36" s="166">
        <f t="shared" ref="F36:N36" si="17">E39</f>
        <v>16852.7</v>
      </c>
      <c r="G36" s="166">
        <f t="shared" si="17"/>
        <v>16874.61</v>
      </c>
      <c r="H36" s="166">
        <f t="shared" si="17"/>
        <v>16880.2</v>
      </c>
      <c r="I36" s="166">
        <f t="shared" si="17"/>
        <v>16880.84</v>
      </c>
      <c r="J36" s="159">
        <f t="shared" si="17"/>
        <v>16881.099999999999</v>
      </c>
      <c r="K36" s="159">
        <f t="shared" si="17"/>
        <v>16883.263333333332</v>
      </c>
      <c r="L36" s="159">
        <f t="shared" si="17"/>
        <v>16884.284444444442</v>
      </c>
      <c r="M36" s="159">
        <f t="shared" si="17"/>
        <v>16885.432592592591</v>
      </c>
      <c r="N36" s="159">
        <f t="shared" si="17"/>
        <v>16886.876790123457</v>
      </c>
    </row>
    <row r="37" spans="1:14" x14ac:dyDescent="0.25">
      <c r="B37" t="s">
        <v>198</v>
      </c>
      <c r="E37" s="158">
        <v>1.53</v>
      </c>
      <c r="F37" s="158">
        <v>21.91</v>
      </c>
      <c r="G37" s="158">
        <v>5.59</v>
      </c>
      <c r="H37" s="158">
        <v>0.64</v>
      </c>
      <c r="I37" s="158">
        <v>0.26</v>
      </c>
      <c r="J37" s="159">
        <f>'Data &amp; Assumptions'!J123</f>
        <v>2.1633333333333331</v>
      </c>
      <c r="K37" s="159">
        <f>'Data &amp; Assumptions'!K123</f>
        <v>1.0211111111111111</v>
      </c>
      <c r="L37" s="159">
        <f>'Data &amp; Assumptions'!L123</f>
        <v>1.1481481481481479</v>
      </c>
      <c r="M37" s="159">
        <f>'Data &amp; Assumptions'!M123</f>
        <v>1.4441975308641972</v>
      </c>
      <c r="N37" s="159">
        <f>'Data &amp; Assumptions'!N123</f>
        <v>1.2044855967078185</v>
      </c>
    </row>
    <row r="38" spans="1:14" x14ac:dyDescent="0.25">
      <c r="B38" t="s">
        <v>244</v>
      </c>
      <c r="E38" s="158">
        <v>11688.57</v>
      </c>
      <c r="F38" s="158">
        <v>0</v>
      </c>
      <c r="G38" s="158">
        <v>0</v>
      </c>
      <c r="H38" s="158">
        <v>0</v>
      </c>
      <c r="I38" s="158">
        <v>0</v>
      </c>
      <c r="J38" s="159">
        <v>0</v>
      </c>
      <c r="K38" s="159">
        <v>0</v>
      </c>
      <c r="L38" s="159">
        <v>0</v>
      </c>
      <c r="M38" s="159">
        <v>0</v>
      </c>
      <c r="N38" s="159">
        <v>0</v>
      </c>
    </row>
    <row r="39" spans="1:14" x14ac:dyDescent="0.25">
      <c r="B39" s="4" t="s">
        <v>180</v>
      </c>
      <c r="C39" s="3"/>
      <c r="D39" s="3"/>
      <c r="E39" s="215">
        <f t="shared" ref="E39:N39" si="18">SUM(E36:E38)</f>
        <v>16852.7</v>
      </c>
      <c r="F39" s="215">
        <f t="shared" si="18"/>
        <v>16874.61</v>
      </c>
      <c r="G39" s="215">
        <f t="shared" si="18"/>
        <v>16880.2</v>
      </c>
      <c r="H39" s="215">
        <f t="shared" si="18"/>
        <v>16880.84</v>
      </c>
      <c r="I39" s="215">
        <f t="shared" si="18"/>
        <v>16881.099999999999</v>
      </c>
      <c r="J39" s="225">
        <f t="shared" si="18"/>
        <v>16883.263333333332</v>
      </c>
      <c r="K39" s="225">
        <f t="shared" si="18"/>
        <v>16884.284444444442</v>
      </c>
      <c r="L39" s="225">
        <f t="shared" si="18"/>
        <v>16885.432592592591</v>
      </c>
      <c r="M39" s="225">
        <f t="shared" si="18"/>
        <v>16886.876790123457</v>
      </c>
      <c r="N39" s="225">
        <f t="shared" si="18"/>
        <v>16888.081275720164</v>
      </c>
    </row>
    <row r="40" spans="1:14" x14ac:dyDescent="0.25">
      <c r="B40" t="s">
        <v>240</v>
      </c>
      <c r="E40" s="158">
        <v>161.24</v>
      </c>
      <c r="F40" s="166">
        <f t="shared" ref="F40:N40" si="19">E43</f>
        <v>928.06000000000006</v>
      </c>
      <c r="G40" s="166">
        <f t="shared" si="19"/>
        <v>2896.61</v>
      </c>
      <c r="H40" s="166">
        <f t="shared" si="19"/>
        <v>5015.8500000000004</v>
      </c>
      <c r="I40" s="166">
        <f t="shared" si="19"/>
        <v>7133.5</v>
      </c>
      <c r="J40" s="159">
        <f t="shared" si="19"/>
        <v>10493.310000000001</v>
      </c>
      <c r="K40" s="159">
        <f t="shared" si="19"/>
        <v>12611.653526118009</v>
      </c>
      <c r="L40" s="159">
        <f t="shared" si="19"/>
        <v>14729.697935161355</v>
      </c>
      <c r="M40" s="159">
        <f t="shared" si="19"/>
        <v>16847.873814700986</v>
      </c>
      <c r="N40" s="159">
        <f t="shared" si="19"/>
        <v>16885.432592592591</v>
      </c>
    </row>
    <row r="41" spans="1:14" x14ac:dyDescent="0.25">
      <c r="C41" t="s">
        <v>241</v>
      </c>
      <c r="E41" s="158">
        <v>766.82</v>
      </c>
      <c r="F41" s="158">
        <v>1968.55</v>
      </c>
      <c r="G41" s="158">
        <v>2119.2399999999998</v>
      </c>
      <c r="H41" s="158">
        <v>2117.65</v>
      </c>
      <c r="I41" s="158">
        <v>2117.1799999999998</v>
      </c>
      <c r="J41" s="159">
        <f xml:space="preserve"> MAX(MIN(J36 * 'Data &amp; Assumptions'!J125, MAX('Asset Schedule'!I44, 0)), 0)</f>
        <v>2118.343526118007</v>
      </c>
      <c r="K41" s="159">
        <f xml:space="preserve"> MAX(MIN(K36 * 'Data &amp; Assumptions'!K125, MAX('Asset Schedule'!J44, 0)), 0)</f>
        <v>2118.0444090433475</v>
      </c>
      <c r="L41" s="159">
        <f xml:space="preserve"> MAX(MIN(L36 * 'Data &amp; Assumptions'!L125, MAX('Asset Schedule'!K44, 0)), 0)</f>
        <v>2118.1758795396318</v>
      </c>
      <c r="M41" s="159">
        <f xml:space="preserve"> MAX(MIN(M36 * 'Data &amp; Assumptions'!M125, MAX('Asset Schedule'!L44, 0)), 0)</f>
        <v>37.558777891605132</v>
      </c>
      <c r="N41" s="159">
        <f xml:space="preserve"> MAX(MIN(N36 * 'Data &amp; Assumptions'!N125, MAX('Asset Schedule'!M44, 0)), 0)</f>
        <v>1.4441975308654946</v>
      </c>
    </row>
    <row r="42" spans="1:14" x14ac:dyDescent="0.25">
      <c r="C42" t="s">
        <v>242</v>
      </c>
      <c r="E42" s="158">
        <v>0</v>
      </c>
      <c r="F42" s="158">
        <v>0</v>
      </c>
      <c r="G42" s="158">
        <v>0</v>
      </c>
      <c r="H42" s="158">
        <v>0</v>
      </c>
      <c r="I42" s="158">
        <v>1242.6300000000001</v>
      </c>
      <c r="J42" s="159">
        <v>0</v>
      </c>
      <c r="K42" s="159">
        <v>0</v>
      </c>
      <c r="L42" s="159">
        <v>0</v>
      </c>
      <c r="M42" s="159">
        <v>0</v>
      </c>
      <c r="N42" s="159">
        <v>0</v>
      </c>
    </row>
    <row r="43" spans="1:14" x14ac:dyDescent="0.25">
      <c r="B43" s="4" t="s">
        <v>243</v>
      </c>
      <c r="C43" s="3"/>
      <c r="D43" s="3"/>
      <c r="E43" s="215">
        <f t="shared" ref="E43:N43" si="20">SUM(E40:E42)</f>
        <v>928.06000000000006</v>
      </c>
      <c r="F43" s="215">
        <f t="shared" si="20"/>
        <v>2896.61</v>
      </c>
      <c r="G43" s="215">
        <f t="shared" si="20"/>
        <v>5015.8500000000004</v>
      </c>
      <c r="H43" s="215">
        <f t="shared" si="20"/>
        <v>7133.5</v>
      </c>
      <c r="I43" s="215">
        <f t="shared" si="20"/>
        <v>10493.310000000001</v>
      </c>
      <c r="J43" s="225">
        <f t="shared" si="20"/>
        <v>12611.653526118009</v>
      </c>
      <c r="K43" s="225">
        <f t="shared" si="20"/>
        <v>14729.697935161355</v>
      </c>
      <c r="L43" s="225">
        <f t="shared" si="20"/>
        <v>16847.873814700986</v>
      </c>
      <c r="M43" s="225">
        <f t="shared" si="20"/>
        <v>16885.432592592591</v>
      </c>
      <c r="N43" s="225">
        <f t="shared" si="20"/>
        <v>16886.876790123457</v>
      </c>
    </row>
    <row r="44" spans="1:14" ht="16.5" thickBot="1" x14ac:dyDescent="0.3">
      <c r="B44" s="11" t="s">
        <v>207</v>
      </c>
      <c r="C44" s="11"/>
      <c r="D44" s="11"/>
      <c r="E44" s="216">
        <f t="shared" ref="E44:N44" si="21">E39-E43</f>
        <v>15924.640000000001</v>
      </c>
      <c r="F44" s="216">
        <f t="shared" si="21"/>
        <v>13978</v>
      </c>
      <c r="G44" s="216">
        <f t="shared" si="21"/>
        <v>11864.35</v>
      </c>
      <c r="H44" s="216">
        <f t="shared" si="21"/>
        <v>9747.34</v>
      </c>
      <c r="I44" s="216">
        <f t="shared" si="21"/>
        <v>6387.7899999999972</v>
      </c>
      <c r="J44" s="226">
        <f t="shared" si="21"/>
        <v>4271.6098072153236</v>
      </c>
      <c r="K44" s="226">
        <f t="shared" si="21"/>
        <v>2154.5865092830863</v>
      </c>
      <c r="L44" s="226">
        <f t="shared" si="21"/>
        <v>37.558777891605132</v>
      </c>
      <c r="M44" s="226">
        <f t="shared" si="21"/>
        <v>1.4441975308654946</v>
      </c>
      <c r="N44" s="226">
        <f t="shared" si="21"/>
        <v>1.2044855967069452</v>
      </c>
    </row>
    <row r="45" spans="1:14" ht="16.5" thickTop="1" x14ac:dyDescent="0.25"/>
    <row r="46" spans="1:14" x14ac:dyDescent="0.25">
      <c r="A46" s="1" t="s">
        <v>247</v>
      </c>
    </row>
    <row r="47" spans="1:14" x14ac:dyDescent="0.25">
      <c r="B47" t="s">
        <v>179</v>
      </c>
      <c r="E47" s="166"/>
      <c r="F47" s="166">
        <f t="shared" ref="F47:N47" si="22">E51</f>
        <v>24118.57</v>
      </c>
      <c r="G47" s="166">
        <f t="shared" si="22"/>
        <v>23634.69</v>
      </c>
      <c r="H47" s="166">
        <f t="shared" si="22"/>
        <v>23081.17</v>
      </c>
      <c r="I47" s="166">
        <f t="shared" si="22"/>
        <v>22910.35</v>
      </c>
      <c r="J47" s="159">
        <f t="shared" si="22"/>
        <v>22706.02</v>
      </c>
      <c r="K47" s="159">
        <f t="shared" si="22"/>
        <v>22865.530734470383</v>
      </c>
      <c r="L47" s="159">
        <f t="shared" si="22"/>
        <v>23032.648464593742</v>
      </c>
      <c r="M47" s="159">
        <f t="shared" si="22"/>
        <v>23207.735964593739</v>
      </c>
      <c r="N47" s="159">
        <f t="shared" si="22"/>
        <v>23391.17330923468</v>
      </c>
    </row>
    <row r="48" spans="1:14" x14ac:dyDescent="0.25">
      <c r="C48" t="s">
        <v>248</v>
      </c>
      <c r="E48" s="166"/>
      <c r="F48" s="166">
        <f>'Data &amp; Assumptions'!F127</f>
        <v>962.14</v>
      </c>
      <c r="G48" s="166">
        <f>'Data &amp; Assumptions'!G127</f>
        <v>777.5</v>
      </c>
      <c r="H48" s="166">
        <f>'Data &amp; Assumptions'!H127</f>
        <v>892.11</v>
      </c>
      <c r="I48" s="166">
        <f>'Data &amp; Assumptions'!I127</f>
        <v>1155.25</v>
      </c>
      <c r="J48" s="159">
        <f>'Data &amp; Assumptions'!J127</f>
        <v>1210.3433563015456</v>
      </c>
      <c r="K48" s="159">
        <f>'Data &amp; Assumptions'!K127</f>
        <v>1268.0640901478382</v>
      </c>
      <c r="L48" s="159">
        <f>'Data &amp; Assumptions'!L127</f>
        <v>1328.5375000000001</v>
      </c>
      <c r="M48" s="159">
        <f>'Data &amp; Assumptions'!M127</f>
        <v>1391.8948597467775</v>
      </c>
      <c r="N48" s="159">
        <f>'Data &amp; Assumptions'!N127</f>
        <v>1458.2737036700139</v>
      </c>
    </row>
    <row r="49" spans="1:14" x14ac:dyDescent="0.25">
      <c r="C49" t="s">
        <v>251</v>
      </c>
      <c r="E49" s="166"/>
      <c r="F49" s="166">
        <f>'Data &amp; Assumptions'!F129</f>
        <v>1400</v>
      </c>
      <c r="G49" s="166">
        <f>'Data &amp; Assumptions'!G129</f>
        <v>920</v>
      </c>
      <c r="H49" s="166">
        <f>'Data &amp; Assumptions'!H129</f>
        <v>700</v>
      </c>
      <c r="I49" s="166">
        <f>'Data &amp; Assumptions'!I129</f>
        <v>1003</v>
      </c>
      <c r="J49" s="159">
        <f>'Data &amp; Assumptions'!J129</f>
        <v>1050.8326218311622</v>
      </c>
      <c r="K49" s="159">
        <f>'Data &amp; Assumptions'!K129</f>
        <v>1100.946360024481</v>
      </c>
      <c r="L49" s="159">
        <f>'Data &amp; Assumptions'!L129</f>
        <v>1153.45</v>
      </c>
      <c r="M49" s="159">
        <f>'Data &amp; Assumptions'!M129</f>
        <v>1208.4575151058366</v>
      </c>
      <c r="N49" s="159">
        <f>'Data &amp; Assumptions'!N129</f>
        <v>1266.088314028153</v>
      </c>
    </row>
    <row r="50" spans="1:14" x14ac:dyDescent="0.25">
      <c r="C50" t="s">
        <v>252</v>
      </c>
      <c r="E50" s="166"/>
      <c r="F50" s="166">
        <f>'Data &amp; Assumptions'!F131</f>
        <v>-46.020000000000437</v>
      </c>
      <c r="G50" s="166">
        <f>'Data &amp; Assumptions'!G131</f>
        <v>-411.02000000000044</v>
      </c>
      <c r="H50" s="166">
        <f>'Data &amp; Assumptions'!H131</f>
        <v>-362.93000000000029</v>
      </c>
      <c r="I50" s="166">
        <f>'Data &amp; Assumptions'!I131</f>
        <v>-356.57999999999811</v>
      </c>
      <c r="J50" s="159">
        <f>'Data &amp; Assumptions'!J131</f>
        <v>0</v>
      </c>
      <c r="K50" s="159">
        <f>'Data &amp; Assumptions'!K131</f>
        <v>0</v>
      </c>
      <c r="L50" s="159">
        <f>'Data &amp; Assumptions'!L131</f>
        <v>0</v>
      </c>
      <c r="M50" s="159">
        <f>'Data &amp; Assumptions'!M131</f>
        <v>0</v>
      </c>
      <c r="N50" s="159">
        <f>'Data &amp; Assumptions'!N131</f>
        <v>0</v>
      </c>
    </row>
    <row r="51" spans="1:14" ht="16.5" thickBot="1" x14ac:dyDescent="0.3">
      <c r="B51" s="11" t="s">
        <v>253</v>
      </c>
      <c r="C51" s="11"/>
      <c r="D51" s="11"/>
      <c r="E51" s="216">
        <f>BS!E11</f>
        <v>24118.57</v>
      </c>
      <c r="F51" s="216">
        <f t="shared" ref="F51:N51" si="23">F47+F48-F49+F50</f>
        <v>23634.69</v>
      </c>
      <c r="G51" s="216">
        <f t="shared" si="23"/>
        <v>23081.17</v>
      </c>
      <c r="H51" s="216">
        <f t="shared" si="23"/>
        <v>22910.35</v>
      </c>
      <c r="I51" s="216">
        <f t="shared" si="23"/>
        <v>22706.02</v>
      </c>
      <c r="J51" s="226">
        <f t="shared" si="23"/>
        <v>22865.530734470383</v>
      </c>
      <c r="K51" s="226">
        <f t="shared" si="23"/>
        <v>23032.648464593742</v>
      </c>
      <c r="L51" s="226">
        <f t="shared" si="23"/>
        <v>23207.735964593739</v>
      </c>
      <c r="M51" s="226">
        <f t="shared" si="23"/>
        <v>23391.17330923468</v>
      </c>
      <c r="N51" s="226">
        <f t="shared" si="23"/>
        <v>23583.358698876538</v>
      </c>
    </row>
    <row r="52" spans="1:14" ht="16.5" thickTop="1" x14ac:dyDescent="0.25">
      <c r="E52" s="166"/>
      <c r="F52" s="166"/>
      <c r="G52" s="166"/>
      <c r="H52" s="166"/>
      <c r="I52" s="166"/>
      <c r="J52" s="166"/>
      <c r="K52" s="166"/>
      <c r="L52" s="166"/>
      <c r="M52" s="166"/>
      <c r="N52" s="166"/>
    </row>
    <row r="53" spans="1:14" x14ac:dyDescent="0.25">
      <c r="A53" s="1" t="s">
        <v>413</v>
      </c>
      <c r="E53" s="166"/>
      <c r="F53" s="166"/>
      <c r="G53" s="166"/>
      <c r="H53" s="166"/>
      <c r="I53" s="166"/>
      <c r="J53" s="166"/>
      <c r="K53" s="166"/>
      <c r="L53" s="166"/>
      <c r="M53" s="166"/>
      <c r="N53" s="166"/>
    </row>
    <row r="54" spans="1:14" x14ac:dyDescent="0.25">
      <c r="C54" t="s">
        <v>203</v>
      </c>
      <c r="E54" s="166"/>
      <c r="F54" s="166"/>
      <c r="G54" s="166"/>
      <c r="H54" s="166"/>
      <c r="I54" s="166"/>
      <c r="J54" s="159">
        <f t="shared" ref="J54:N54" si="24">J5</f>
        <v>125.557</v>
      </c>
      <c r="K54" s="159">
        <f t="shared" si="24"/>
        <v>129.32371000000001</v>
      </c>
      <c r="L54" s="159">
        <f t="shared" si="24"/>
        <v>133.2034213</v>
      </c>
      <c r="M54" s="159">
        <f t="shared" si="24"/>
        <v>137.19952393900002</v>
      </c>
      <c r="N54" s="159">
        <f t="shared" si="24"/>
        <v>141.31550965717003</v>
      </c>
    </row>
    <row r="55" spans="1:14" x14ac:dyDescent="0.25">
      <c r="C55" t="s">
        <v>419</v>
      </c>
      <c r="E55" s="166"/>
      <c r="F55" s="166"/>
      <c r="G55" s="166"/>
      <c r="H55" s="166"/>
      <c r="I55" s="166"/>
      <c r="J55" s="159">
        <f>J17+J18</f>
        <v>18909.750647852252</v>
      </c>
      <c r="K55" s="159">
        <f t="shared" ref="K55:N55" si="25">K17+K18</f>
        <v>14333.259927785848</v>
      </c>
      <c r="L55" s="159">
        <f t="shared" si="25"/>
        <v>12362.626921130095</v>
      </c>
      <c r="M55" s="159">
        <f t="shared" si="25"/>
        <v>11174.341671927903</v>
      </c>
      <c r="N55" s="159">
        <f t="shared" si="25"/>
        <v>9420.2207217073319</v>
      </c>
    </row>
    <row r="56" spans="1:14" x14ac:dyDescent="0.25">
      <c r="C56" t="s">
        <v>420</v>
      </c>
      <c r="E56" s="166"/>
      <c r="F56" s="166"/>
      <c r="G56" s="166"/>
      <c r="H56" s="166"/>
      <c r="I56" s="166"/>
      <c r="J56" s="159">
        <f>J30+J31</f>
        <v>16834.025169629109</v>
      </c>
      <c r="K56" s="159">
        <f t="shared" ref="K56:N56" si="26">K30+K31</f>
        <v>12230.241656617869</v>
      </c>
      <c r="L56" s="159">
        <f t="shared" si="26"/>
        <v>8355.1492639424196</v>
      </c>
      <c r="M56" s="159">
        <f t="shared" si="26"/>
        <v>4140.0287447880501</v>
      </c>
      <c r="N56" s="159">
        <f t="shared" si="26"/>
        <v>2328.6218852227948</v>
      </c>
    </row>
    <row r="57" spans="1:14" x14ac:dyDescent="0.25">
      <c r="C57" t="s">
        <v>421</v>
      </c>
      <c r="E57" s="166"/>
      <c r="F57" s="166"/>
      <c r="G57" s="166"/>
      <c r="H57" s="166"/>
      <c r="I57" s="166"/>
      <c r="J57" s="159">
        <f>J37+J38</f>
        <v>2.1633333333333331</v>
      </c>
      <c r="K57" s="159">
        <f t="shared" ref="K57:N57" si="27">K37+K38</f>
        <v>1.0211111111111111</v>
      </c>
      <c r="L57" s="159">
        <f t="shared" si="27"/>
        <v>1.1481481481481479</v>
      </c>
      <c r="M57" s="159">
        <f t="shared" si="27"/>
        <v>1.4441975308641972</v>
      </c>
      <c r="N57" s="159">
        <f t="shared" si="27"/>
        <v>1.2044855967078185</v>
      </c>
    </row>
    <row r="58" spans="1:14" x14ac:dyDescent="0.25">
      <c r="B58" s="4" t="s">
        <v>414</v>
      </c>
      <c r="C58" s="3"/>
      <c r="D58" s="3"/>
      <c r="E58" s="215"/>
      <c r="F58" s="215"/>
      <c r="G58" s="215"/>
      <c r="H58" s="215"/>
      <c r="I58" s="215"/>
      <c r="J58" s="225">
        <f t="shared" ref="J58:N58" si="28">SUM(J54:J57)</f>
        <v>35871.496150814695</v>
      </c>
      <c r="K58" s="225">
        <f t="shared" si="28"/>
        <v>26693.846405514825</v>
      </c>
      <c r="L58" s="225">
        <f t="shared" si="28"/>
        <v>20852.127754520665</v>
      </c>
      <c r="M58" s="225">
        <f t="shared" si="28"/>
        <v>15453.014138185818</v>
      </c>
      <c r="N58" s="225">
        <f t="shared" si="28"/>
        <v>11891.362602184003</v>
      </c>
    </row>
    <row r="59" spans="1:14" x14ac:dyDescent="0.25">
      <c r="C59" t="s">
        <v>415</v>
      </c>
      <c r="E59" s="166"/>
      <c r="F59" s="166"/>
      <c r="G59" s="166"/>
      <c r="H59" s="166"/>
      <c r="I59" s="166"/>
      <c r="J59" s="159">
        <f t="shared" ref="J59:N59" si="29">-J32</f>
        <v>-17190.682407138411</v>
      </c>
      <c r="K59" s="159">
        <f t="shared" si="29"/>
        <v>-13030.236297987134</v>
      </c>
      <c r="L59" s="159">
        <f t="shared" si="29"/>
        <v>-11238.751746481903</v>
      </c>
      <c r="M59" s="159">
        <f t="shared" si="29"/>
        <v>-10158.492429025366</v>
      </c>
      <c r="N59" s="159">
        <f t="shared" si="29"/>
        <v>-8563.8370197339373</v>
      </c>
    </row>
    <row r="60" spans="1:14" x14ac:dyDescent="0.25">
      <c r="C60" t="s">
        <v>416</v>
      </c>
      <c r="E60" s="166"/>
      <c r="F60" s="166"/>
      <c r="G60" s="166"/>
      <c r="H60" s="166"/>
      <c r="I60" s="166"/>
      <c r="J60" s="159">
        <f>-'Debt Schedule'!J12</f>
        <v>-1759.0201696291085</v>
      </c>
      <c r="K60" s="159">
        <f>-'Debt Schedule'!K12</f>
        <v>-1803.0559991234491</v>
      </c>
      <c r="L60" s="159">
        <f>-'Debt Schedule'!L12</f>
        <v>-1723.6900154938451</v>
      </c>
      <c r="M60" s="159">
        <f>-'Debt Schedule'!M12</f>
        <v>-1401.0196170716599</v>
      </c>
      <c r="N60" s="159">
        <f>-'Debt Schedule'!N12</f>
        <v>-793.3054943538682</v>
      </c>
    </row>
    <row r="61" spans="1:14" x14ac:dyDescent="0.25">
      <c r="B61" s="4" t="s">
        <v>417</v>
      </c>
      <c r="C61" s="3"/>
      <c r="D61" s="3"/>
      <c r="E61" s="215"/>
      <c r="F61" s="215"/>
      <c r="G61" s="215"/>
      <c r="H61" s="215"/>
      <c r="I61" s="215"/>
      <c r="J61" s="225">
        <f t="shared" ref="J61:N61" si="30">SUM(J58:J60)</f>
        <v>16921.793574047177</v>
      </c>
      <c r="K61" s="225">
        <f t="shared" si="30"/>
        <v>11860.554108404242</v>
      </c>
      <c r="L61" s="225">
        <f t="shared" si="30"/>
        <v>7889.6859925449171</v>
      </c>
      <c r="M61" s="225">
        <f t="shared" si="30"/>
        <v>3893.5020920887919</v>
      </c>
      <c r="N61" s="225">
        <f t="shared" si="30"/>
        <v>2534.2200880961973</v>
      </c>
    </row>
    <row r="62" spans="1:14" x14ac:dyDescent="0.25">
      <c r="C62" t="s">
        <v>423</v>
      </c>
      <c r="E62" s="166"/>
      <c r="F62" s="166"/>
      <c r="G62" s="166"/>
      <c r="H62" s="166"/>
      <c r="I62" s="166"/>
      <c r="J62" s="159">
        <f>(BS!J6-BS!I6)</f>
        <v>818.44333333333316</v>
      </c>
      <c r="K62" s="159">
        <f>(BS!K6-BS!J6)</f>
        <v>-500</v>
      </c>
      <c r="L62" s="159">
        <f>(BS!L6-BS!K6)</f>
        <v>-2000</v>
      </c>
      <c r="M62" s="159">
        <f>(BS!M6-BS!L6)</f>
        <v>0</v>
      </c>
      <c r="N62" s="159">
        <f>(BS!N6-BS!M6)</f>
        <v>0</v>
      </c>
    </row>
    <row r="63" spans="1:14" ht="16.5" thickBot="1" x14ac:dyDescent="0.3">
      <c r="B63" s="11" t="s">
        <v>418</v>
      </c>
      <c r="C63" s="11"/>
      <c r="D63" s="11"/>
      <c r="E63" s="216"/>
      <c r="F63" s="216"/>
      <c r="G63" s="216"/>
      <c r="H63" s="216"/>
      <c r="I63" s="216"/>
      <c r="J63" s="226">
        <f t="shared" ref="J63:N63" si="31">SUM(J61:J62)</f>
        <v>17740.236907380509</v>
      </c>
      <c r="K63" s="226">
        <f t="shared" si="31"/>
        <v>11360.554108404242</v>
      </c>
      <c r="L63" s="226">
        <f t="shared" si="31"/>
        <v>5889.6859925449171</v>
      </c>
      <c r="M63" s="226">
        <f t="shared" si="31"/>
        <v>3893.5020920887919</v>
      </c>
      <c r="N63" s="226">
        <f t="shared" si="31"/>
        <v>2534.2200880961973</v>
      </c>
    </row>
    <row r="64" spans="1:14" ht="16.5" thickTop="1" x14ac:dyDescent="0.25">
      <c r="E64" s="166"/>
      <c r="F64" s="166"/>
      <c r="G64" s="166"/>
      <c r="H64" s="166"/>
      <c r="I64" s="166"/>
      <c r="J64" s="166"/>
      <c r="K64" s="166"/>
      <c r="L64" s="166"/>
      <c r="M64" s="166"/>
      <c r="N64" s="166"/>
    </row>
    <row r="65" spans="5:14" x14ac:dyDescent="0.25">
      <c r="E65" s="166"/>
      <c r="F65" s="166"/>
      <c r="G65" s="166"/>
      <c r="H65" s="166"/>
      <c r="I65" s="166"/>
      <c r="J65" s="166"/>
      <c r="K65" s="166"/>
      <c r="L65" s="166"/>
      <c r="M65" s="166"/>
      <c r="N65" s="166"/>
    </row>
    <row r="66" spans="5:14" x14ac:dyDescent="0.25">
      <c r="E66" s="166"/>
      <c r="F66" s="166"/>
      <c r="G66" s="166"/>
      <c r="H66" s="166"/>
      <c r="I66" s="166"/>
      <c r="J66" s="166"/>
      <c r="K66" s="166"/>
      <c r="L66" s="166"/>
      <c r="M66" s="166"/>
      <c r="N66" s="166"/>
    </row>
    <row r="67" spans="5:14" x14ac:dyDescent="0.25">
      <c r="E67" s="166"/>
      <c r="F67" s="166"/>
      <c r="G67" s="166"/>
      <c r="H67" s="166"/>
      <c r="I67" s="166"/>
      <c r="J67" s="166"/>
      <c r="K67" s="166"/>
      <c r="L67" s="166"/>
      <c r="M67" s="166"/>
      <c r="N67" s="166"/>
    </row>
    <row r="68" spans="5:14" x14ac:dyDescent="0.25">
      <c r="E68" s="166"/>
      <c r="F68" s="166"/>
      <c r="G68" s="166"/>
      <c r="H68" s="166"/>
      <c r="I68" s="166"/>
      <c r="J68" s="166"/>
      <c r="K68" s="166"/>
      <c r="L68" s="166"/>
      <c r="M68" s="166"/>
      <c r="N68" s="166"/>
    </row>
    <row r="69" spans="5:14" x14ac:dyDescent="0.25">
      <c r="E69" s="166"/>
      <c r="F69" s="166"/>
      <c r="G69" s="166"/>
      <c r="H69" s="166"/>
      <c r="I69" s="166"/>
      <c r="J69" s="166"/>
      <c r="K69" s="166"/>
      <c r="L69" s="166"/>
      <c r="M69" s="166"/>
      <c r="N69" s="166"/>
    </row>
    <row r="70" spans="5:14" x14ac:dyDescent="0.25">
      <c r="E70" s="166"/>
      <c r="F70" s="166"/>
      <c r="G70" s="166"/>
      <c r="H70" s="166"/>
      <c r="I70" s="166"/>
      <c r="J70" s="166"/>
      <c r="K70" s="166"/>
      <c r="L70" s="166"/>
      <c r="M70" s="166"/>
      <c r="N70" s="166"/>
    </row>
    <row r="71" spans="5:14" x14ac:dyDescent="0.25">
      <c r="E71" s="166"/>
      <c r="F71" s="166"/>
      <c r="G71" s="166"/>
      <c r="H71" s="166"/>
      <c r="I71" s="166"/>
      <c r="J71" s="166"/>
      <c r="K71" s="166"/>
      <c r="L71" s="166"/>
      <c r="M71" s="166"/>
      <c r="N71" s="166"/>
    </row>
    <row r="72" spans="5:14" x14ac:dyDescent="0.25">
      <c r="E72" s="166"/>
      <c r="F72" s="166"/>
      <c r="G72" s="166"/>
      <c r="H72" s="166"/>
      <c r="I72" s="166"/>
      <c r="J72" s="166"/>
      <c r="K72" s="166"/>
      <c r="L72" s="166"/>
      <c r="M72" s="166"/>
      <c r="N72" s="166"/>
    </row>
    <row r="73" spans="5:14" x14ac:dyDescent="0.25">
      <c r="E73" s="166"/>
      <c r="F73" s="166"/>
      <c r="G73" s="166"/>
      <c r="H73" s="166"/>
      <c r="I73" s="166"/>
      <c r="J73" s="166"/>
      <c r="K73" s="166"/>
      <c r="L73" s="166"/>
      <c r="M73" s="166"/>
      <c r="N73" s="166"/>
    </row>
    <row r="74" spans="5:14" x14ac:dyDescent="0.25">
      <c r="E74" s="166"/>
      <c r="F74" s="166"/>
      <c r="G74" s="166"/>
      <c r="H74" s="166"/>
      <c r="I74" s="166"/>
      <c r="J74" s="166"/>
      <c r="K74" s="166"/>
      <c r="L74" s="166"/>
      <c r="M74" s="166"/>
      <c r="N74" s="166"/>
    </row>
    <row r="75" spans="5:14" x14ac:dyDescent="0.25">
      <c r="E75" s="166"/>
      <c r="F75" s="166"/>
      <c r="G75" s="166"/>
      <c r="H75" s="166"/>
      <c r="I75" s="166"/>
      <c r="J75" s="166"/>
      <c r="K75" s="166"/>
      <c r="L75" s="166"/>
      <c r="M75" s="166"/>
      <c r="N75" s="166"/>
    </row>
    <row r="76" spans="5:14" x14ac:dyDescent="0.25">
      <c r="E76" s="166"/>
      <c r="F76" s="166"/>
      <c r="G76" s="166"/>
      <c r="H76" s="166"/>
      <c r="I76" s="166"/>
      <c r="J76" s="166"/>
      <c r="K76" s="166"/>
      <c r="L76" s="166"/>
      <c r="M76" s="166"/>
      <c r="N76" s="166"/>
    </row>
    <row r="77" spans="5:14" x14ac:dyDescent="0.25">
      <c r="E77" s="166"/>
      <c r="F77" s="166"/>
      <c r="G77" s="166"/>
      <c r="H77" s="166"/>
      <c r="I77" s="166"/>
      <c r="J77" s="166"/>
      <c r="K77" s="166"/>
      <c r="L77" s="166"/>
      <c r="M77" s="166"/>
      <c r="N77" s="166"/>
    </row>
    <row r="78" spans="5:14" x14ac:dyDescent="0.25">
      <c r="E78" s="166"/>
      <c r="F78" s="166"/>
      <c r="G78" s="166"/>
      <c r="H78" s="166"/>
      <c r="I78" s="166"/>
      <c r="J78" s="166"/>
      <c r="K78" s="166"/>
      <c r="L78" s="166"/>
      <c r="M78" s="166"/>
      <c r="N78" s="166"/>
    </row>
    <row r="79" spans="5:14" x14ac:dyDescent="0.25">
      <c r="E79" s="166"/>
      <c r="F79" s="166"/>
      <c r="G79" s="166"/>
      <c r="H79" s="166"/>
      <c r="I79" s="166"/>
      <c r="J79" s="166"/>
      <c r="K79" s="166"/>
      <c r="L79" s="166"/>
      <c r="M79" s="166"/>
      <c r="N79" s="166"/>
    </row>
    <row r="80" spans="5:14" x14ac:dyDescent="0.25">
      <c r="E80" s="166"/>
      <c r="F80" s="166"/>
      <c r="G80" s="166"/>
      <c r="H80" s="166"/>
      <c r="I80" s="166"/>
      <c r="J80" s="166"/>
      <c r="K80" s="166"/>
      <c r="L80" s="166"/>
      <c r="M80" s="166"/>
      <c r="N80" s="166"/>
    </row>
    <row r="81" spans="5:14" x14ac:dyDescent="0.25">
      <c r="E81" s="166"/>
      <c r="F81" s="166"/>
      <c r="G81" s="166"/>
      <c r="H81" s="166"/>
      <c r="I81" s="166"/>
      <c r="J81" s="166"/>
      <c r="K81" s="166"/>
      <c r="L81" s="166"/>
      <c r="M81" s="166"/>
      <c r="N81" s="166"/>
    </row>
    <row r="82" spans="5:14" x14ac:dyDescent="0.25">
      <c r="E82" s="166"/>
      <c r="F82" s="166"/>
      <c r="G82" s="166"/>
      <c r="H82" s="166"/>
      <c r="I82" s="166"/>
      <c r="J82" s="166"/>
      <c r="K82" s="166"/>
      <c r="L82" s="166"/>
      <c r="M82" s="166"/>
      <c r="N82" s="166"/>
    </row>
    <row r="83" spans="5:14" x14ac:dyDescent="0.25">
      <c r="E83" s="166"/>
      <c r="F83" s="166"/>
      <c r="G83" s="166"/>
      <c r="H83" s="166"/>
      <c r="I83" s="166"/>
      <c r="J83" s="166"/>
      <c r="K83" s="166"/>
      <c r="L83" s="166"/>
      <c r="M83" s="166"/>
      <c r="N83" s="166"/>
    </row>
    <row r="84" spans="5:14" x14ac:dyDescent="0.25">
      <c r="E84" s="166"/>
      <c r="F84" s="166"/>
      <c r="G84" s="166"/>
      <c r="H84" s="166"/>
      <c r="I84" s="166"/>
      <c r="J84" s="166"/>
      <c r="K84" s="166"/>
      <c r="L84" s="166"/>
      <c r="M84" s="166"/>
      <c r="N84" s="166"/>
    </row>
    <row r="85" spans="5:14" x14ac:dyDescent="0.25">
      <c r="E85" s="166"/>
      <c r="F85" s="166"/>
      <c r="G85" s="166"/>
      <c r="H85" s="166"/>
      <c r="I85" s="166"/>
      <c r="J85" s="166"/>
      <c r="K85" s="166"/>
      <c r="L85" s="166"/>
      <c r="M85" s="166"/>
      <c r="N85" s="166"/>
    </row>
    <row r="86" spans="5:14" x14ac:dyDescent="0.25">
      <c r="E86" s="166"/>
      <c r="F86" s="166"/>
      <c r="G86" s="166"/>
      <c r="H86" s="166"/>
      <c r="I86" s="166"/>
      <c r="J86" s="166"/>
      <c r="K86" s="166"/>
      <c r="L86" s="166"/>
      <c r="M86" s="166"/>
      <c r="N86" s="166"/>
    </row>
    <row r="87" spans="5:14" x14ac:dyDescent="0.25">
      <c r="E87" s="166"/>
      <c r="F87" s="166"/>
      <c r="G87" s="166"/>
      <c r="H87" s="166"/>
      <c r="I87" s="166"/>
      <c r="J87" s="166"/>
      <c r="K87" s="166"/>
      <c r="L87" s="166"/>
      <c r="M87" s="166"/>
      <c r="N87" s="166"/>
    </row>
    <row r="88" spans="5:14" x14ac:dyDescent="0.25">
      <c r="E88" s="166"/>
      <c r="F88" s="166"/>
      <c r="G88" s="166"/>
      <c r="H88" s="166"/>
      <c r="I88" s="166"/>
      <c r="J88" s="166"/>
      <c r="K88" s="166"/>
      <c r="L88" s="166"/>
      <c r="M88" s="166"/>
      <c r="N88" s="166"/>
    </row>
    <row r="89" spans="5:14" x14ac:dyDescent="0.25">
      <c r="E89" s="166"/>
      <c r="F89" s="166"/>
      <c r="G89" s="166"/>
      <c r="H89" s="166"/>
      <c r="I89" s="166"/>
      <c r="J89" s="166"/>
      <c r="K89" s="166"/>
      <c r="L89" s="166"/>
      <c r="M89" s="166"/>
      <c r="N89" s="166"/>
    </row>
    <row r="90" spans="5:14" x14ac:dyDescent="0.25">
      <c r="E90" s="166"/>
      <c r="F90" s="166"/>
      <c r="G90" s="166"/>
      <c r="H90" s="166"/>
      <c r="I90" s="166"/>
      <c r="J90" s="166"/>
      <c r="K90" s="166"/>
      <c r="L90" s="166"/>
      <c r="M90" s="166"/>
      <c r="N90" s="166"/>
    </row>
    <row r="91" spans="5:14" x14ac:dyDescent="0.25">
      <c r="E91" s="166"/>
      <c r="F91" s="166"/>
      <c r="G91" s="166"/>
      <c r="H91" s="166"/>
      <c r="I91" s="166"/>
      <c r="J91" s="166"/>
      <c r="K91" s="166"/>
      <c r="L91" s="166"/>
      <c r="M91" s="166"/>
      <c r="N91" s="166"/>
    </row>
    <row r="92" spans="5:14" x14ac:dyDescent="0.25">
      <c r="E92" s="166"/>
      <c r="F92" s="166"/>
      <c r="G92" s="166"/>
      <c r="H92" s="166"/>
      <c r="I92" s="166"/>
      <c r="J92" s="166"/>
      <c r="K92" s="166"/>
      <c r="L92" s="166"/>
      <c r="M92" s="166"/>
      <c r="N92" s="166"/>
    </row>
    <row r="93" spans="5:14" x14ac:dyDescent="0.25">
      <c r="E93" s="166"/>
      <c r="F93" s="166"/>
      <c r="G93" s="166"/>
      <c r="H93" s="166"/>
      <c r="I93" s="166"/>
      <c r="J93" s="166"/>
      <c r="K93" s="166"/>
      <c r="L93" s="166"/>
      <c r="M93" s="166"/>
      <c r="N93" s="166"/>
    </row>
    <row r="94" spans="5:14" x14ac:dyDescent="0.25">
      <c r="E94" s="166"/>
      <c r="F94" s="166"/>
      <c r="G94" s="166"/>
      <c r="H94" s="166"/>
      <c r="I94" s="166"/>
      <c r="J94" s="166"/>
      <c r="K94" s="166"/>
      <c r="L94" s="166"/>
      <c r="M94" s="166"/>
      <c r="N94" s="166"/>
    </row>
    <row r="95" spans="5:14" x14ac:dyDescent="0.25">
      <c r="E95" s="166"/>
      <c r="F95" s="166"/>
      <c r="G95" s="166"/>
      <c r="H95" s="166"/>
      <c r="I95" s="166"/>
      <c r="J95" s="166"/>
      <c r="K95" s="166"/>
      <c r="L95" s="166"/>
      <c r="M95" s="166"/>
      <c r="N95" s="166"/>
    </row>
    <row r="96" spans="5:14" x14ac:dyDescent="0.25">
      <c r="E96" s="166"/>
      <c r="F96" s="166"/>
      <c r="G96" s="166"/>
      <c r="H96" s="166"/>
      <c r="I96" s="166"/>
      <c r="J96" s="166"/>
      <c r="K96" s="166"/>
      <c r="L96" s="166"/>
      <c r="M96" s="166"/>
      <c r="N96" s="166"/>
    </row>
    <row r="97" spans="5:14" x14ac:dyDescent="0.25">
      <c r="E97" s="166"/>
      <c r="F97" s="166"/>
      <c r="G97" s="166"/>
      <c r="H97" s="166"/>
      <c r="I97" s="166"/>
      <c r="J97" s="166"/>
      <c r="K97" s="166"/>
      <c r="L97" s="166"/>
      <c r="M97" s="166"/>
      <c r="N97" s="166"/>
    </row>
    <row r="98" spans="5:14" x14ac:dyDescent="0.25">
      <c r="E98" s="166"/>
      <c r="F98" s="166"/>
      <c r="G98" s="166"/>
      <c r="H98" s="166"/>
      <c r="I98" s="166"/>
      <c r="J98" s="166"/>
      <c r="K98" s="166"/>
      <c r="L98" s="166"/>
      <c r="M98" s="166"/>
      <c r="N98" s="166"/>
    </row>
    <row r="99" spans="5:14" x14ac:dyDescent="0.25">
      <c r="E99" s="166"/>
      <c r="F99" s="166"/>
      <c r="G99" s="166"/>
      <c r="H99" s="166"/>
      <c r="I99" s="166"/>
      <c r="J99" s="166"/>
      <c r="K99" s="166"/>
      <c r="L99" s="166"/>
      <c r="M99" s="166"/>
      <c r="N99" s="166"/>
    </row>
    <row r="100" spans="5:14" x14ac:dyDescent="0.25"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</row>
    <row r="101" spans="5:14" x14ac:dyDescent="0.25"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</row>
    <row r="102" spans="5:14" x14ac:dyDescent="0.25"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</row>
    <row r="103" spans="5:14" x14ac:dyDescent="0.25"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</row>
    <row r="104" spans="5:14" x14ac:dyDescent="0.25"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</row>
    <row r="105" spans="5:14" x14ac:dyDescent="0.25"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</row>
    <row r="106" spans="5:14" x14ac:dyDescent="0.25"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</row>
    <row r="107" spans="5:14" x14ac:dyDescent="0.25"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</row>
    <row r="108" spans="5:14" x14ac:dyDescent="0.25"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</row>
    <row r="109" spans="5:14" x14ac:dyDescent="0.25"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</row>
    <row r="110" spans="5:14" x14ac:dyDescent="0.25"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</row>
    <row r="111" spans="5:14" x14ac:dyDescent="0.25"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</row>
    <row r="112" spans="5:14" x14ac:dyDescent="0.25"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</row>
    <row r="113" spans="5:14" x14ac:dyDescent="0.25"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</row>
    <row r="114" spans="5:14" x14ac:dyDescent="0.25"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</row>
    <row r="115" spans="5:14" x14ac:dyDescent="0.25"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</row>
    <row r="116" spans="5:14" x14ac:dyDescent="0.25"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</row>
    <row r="117" spans="5:14" x14ac:dyDescent="0.25"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</row>
    <row r="118" spans="5:14" x14ac:dyDescent="0.25"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</row>
    <row r="119" spans="5:14" x14ac:dyDescent="0.25"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</row>
    <row r="120" spans="5:14" x14ac:dyDescent="0.25"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</row>
    <row r="121" spans="5:14" x14ac:dyDescent="0.25"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</row>
    <row r="122" spans="5:14" x14ac:dyDescent="0.25"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</row>
    <row r="123" spans="5:14" x14ac:dyDescent="0.25"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</row>
    <row r="124" spans="5:14" x14ac:dyDescent="0.25"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</row>
    <row r="125" spans="5:14" x14ac:dyDescent="0.25"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</row>
    <row r="126" spans="5:14" x14ac:dyDescent="0.25"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</row>
    <row r="127" spans="5:14" x14ac:dyDescent="0.25"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</row>
    <row r="128" spans="5:14" x14ac:dyDescent="0.25"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</row>
    <row r="129" spans="5:14" x14ac:dyDescent="0.25"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</row>
    <row r="130" spans="5:14" x14ac:dyDescent="0.25"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</row>
    <row r="131" spans="5:14" x14ac:dyDescent="0.25"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</row>
    <row r="132" spans="5:14" x14ac:dyDescent="0.25"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</row>
    <row r="133" spans="5:14" x14ac:dyDescent="0.25"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</row>
    <row r="134" spans="5:14" x14ac:dyDescent="0.25"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</row>
    <row r="135" spans="5:14" x14ac:dyDescent="0.25"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</row>
    <row r="136" spans="5:14" x14ac:dyDescent="0.25"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</row>
    <row r="137" spans="5:14" x14ac:dyDescent="0.25"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</row>
    <row r="138" spans="5:14" x14ac:dyDescent="0.25"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</row>
    <row r="139" spans="5:14" x14ac:dyDescent="0.25"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</row>
    <row r="140" spans="5:14" x14ac:dyDescent="0.25"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</row>
    <row r="141" spans="5:14" x14ac:dyDescent="0.25"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</row>
    <row r="142" spans="5:14" x14ac:dyDescent="0.25"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</row>
    <row r="143" spans="5:14" x14ac:dyDescent="0.25"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</row>
    <row r="144" spans="5:14" x14ac:dyDescent="0.25"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</row>
    <row r="145" spans="5:14" x14ac:dyDescent="0.25"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</row>
    <row r="146" spans="5:14" x14ac:dyDescent="0.25"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</row>
    <row r="147" spans="5:14" x14ac:dyDescent="0.25"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</row>
    <row r="148" spans="5:14" x14ac:dyDescent="0.25"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</row>
    <row r="149" spans="5:14" x14ac:dyDescent="0.25"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</row>
    <row r="150" spans="5:14" x14ac:dyDescent="0.25"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</row>
    <row r="151" spans="5:14" x14ac:dyDescent="0.25"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</row>
    <row r="152" spans="5:14" x14ac:dyDescent="0.25"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</row>
    <row r="153" spans="5:14" x14ac:dyDescent="0.25"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</row>
    <row r="154" spans="5:14" x14ac:dyDescent="0.25"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</row>
    <row r="155" spans="5:14" x14ac:dyDescent="0.25"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</row>
    <row r="156" spans="5:14" x14ac:dyDescent="0.25"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</row>
    <row r="157" spans="5:14" x14ac:dyDescent="0.25"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</row>
    <row r="158" spans="5:14" x14ac:dyDescent="0.25">
      <c r="E158" s="166"/>
      <c r="F158" s="166"/>
      <c r="G158" s="166"/>
      <c r="H158" s="166"/>
      <c r="I158" s="166"/>
      <c r="J158" s="166"/>
      <c r="K158" s="166"/>
      <c r="L158" s="166"/>
      <c r="M158" s="166"/>
      <c r="N158" s="166"/>
    </row>
    <row r="159" spans="5:14" x14ac:dyDescent="0.25">
      <c r="E159" s="166"/>
      <c r="F159" s="166"/>
      <c r="G159" s="166"/>
      <c r="H159" s="166"/>
      <c r="I159" s="166"/>
      <c r="J159" s="166"/>
      <c r="K159" s="166"/>
      <c r="L159" s="166"/>
      <c r="M159" s="166"/>
      <c r="N159" s="166"/>
    </row>
    <row r="160" spans="5:14" x14ac:dyDescent="0.25"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</row>
    <row r="161" spans="5:14" x14ac:dyDescent="0.25"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</row>
    <row r="162" spans="5:14" x14ac:dyDescent="0.25"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</row>
    <row r="163" spans="5:14" x14ac:dyDescent="0.25"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</row>
    <row r="164" spans="5:14" x14ac:dyDescent="0.25"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</row>
    <row r="165" spans="5:14" x14ac:dyDescent="0.25"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</row>
    <row r="166" spans="5:14" x14ac:dyDescent="0.25"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</row>
    <row r="167" spans="5:14" x14ac:dyDescent="0.25"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</row>
    <row r="168" spans="5:14" x14ac:dyDescent="0.25"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</row>
    <row r="169" spans="5:14" x14ac:dyDescent="0.25"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</row>
    <row r="170" spans="5:14" x14ac:dyDescent="0.25"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</row>
    <row r="171" spans="5:14" x14ac:dyDescent="0.25">
      <c r="E171" s="166"/>
      <c r="F171" s="166"/>
      <c r="G171" s="166"/>
      <c r="H171" s="166"/>
      <c r="I171" s="166"/>
      <c r="J171" s="166"/>
      <c r="K171" s="166"/>
      <c r="L171" s="166"/>
      <c r="M171" s="166"/>
      <c r="N171" s="166"/>
    </row>
    <row r="172" spans="5:14" x14ac:dyDescent="0.25"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</row>
    <row r="173" spans="5:14" x14ac:dyDescent="0.25"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</row>
    <row r="174" spans="5:14" x14ac:dyDescent="0.25"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</row>
    <row r="175" spans="5:14" x14ac:dyDescent="0.25"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</row>
    <row r="176" spans="5:14" x14ac:dyDescent="0.25"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</row>
    <row r="177" spans="5:14" x14ac:dyDescent="0.25"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</row>
    <row r="178" spans="5:14" x14ac:dyDescent="0.25"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</row>
    <row r="179" spans="5:14" x14ac:dyDescent="0.25"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</row>
    <row r="180" spans="5:14" x14ac:dyDescent="0.25"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</row>
    <row r="181" spans="5:14" x14ac:dyDescent="0.25"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</row>
    <row r="182" spans="5:14" x14ac:dyDescent="0.25"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</row>
    <row r="183" spans="5:14" x14ac:dyDescent="0.25"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</row>
    <row r="184" spans="5:14" x14ac:dyDescent="0.25"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</row>
    <row r="185" spans="5:14" x14ac:dyDescent="0.25"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</row>
    <row r="186" spans="5:14" x14ac:dyDescent="0.25">
      <c r="E186" s="166"/>
      <c r="F186" s="166"/>
      <c r="G186" s="166"/>
      <c r="H186" s="166"/>
      <c r="I186" s="166"/>
      <c r="J186" s="166"/>
      <c r="K186" s="166"/>
      <c r="L186" s="166"/>
      <c r="M186" s="166"/>
      <c r="N186" s="166"/>
    </row>
    <row r="187" spans="5:14" x14ac:dyDescent="0.25">
      <c r="E187" s="166"/>
      <c r="F187" s="166"/>
      <c r="G187" s="166"/>
      <c r="H187" s="166"/>
      <c r="I187" s="166"/>
      <c r="J187" s="166"/>
      <c r="K187" s="166"/>
      <c r="L187" s="166"/>
      <c r="M187" s="166"/>
      <c r="N187" s="166"/>
    </row>
    <row r="188" spans="5:14" x14ac:dyDescent="0.25">
      <c r="E188" s="166"/>
      <c r="F188" s="166"/>
      <c r="G188" s="166"/>
      <c r="H188" s="166"/>
      <c r="I188" s="166"/>
      <c r="J188" s="166"/>
      <c r="K188" s="166"/>
      <c r="L188" s="166"/>
      <c r="M188" s="166"/>
      <c r="N188" s="166"/>
    </row>
    <row r="189" spans="5:14" x14ac:dyDescent="0.25">
      <c r="E189" s="166"/>
      <c r="F189" s="166"/>
      <c r="G189" s="166"/>
      <c r="H189" s="166"/>
      <c r="I189" s="166"/>
      <c r="J189" s="166"/>
      <c r="K189" s="166"/>
      <c r="L189" s="166"/>
      <c r="M189" s="166"/>
      <c r="N189" s="166"/>
    </row>
    <row r="190" spans="5:14" x14ac:dyDescent="0.25"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</row>
    <row r="191" spans="5:14" x14ac:dyDescent="0.25"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</row>
    <row r="192" spans="5:14" x14ac:dyDescent="0.25">
      <c r="E192" s="166"/>
      <c r="F192" s="166"/>
      <c r="G192" s="166"/>
      <c r="H192" s="166"/>
      <c r="I192" s="166"/>
      <c r="J192" s="166"/>
      <c r="K192" s="166"/>
      <c r="L192" s="166"/>
      <c r="M192" s="166"/>
      <c r="N192" s="166"/>
    </row>
    <row r="193" spans="5:14" x14ac:dyDescent="0.25"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</row>
    <row r="194" spans="5:14" x14ac:dyDescent="0.25"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</row>
    <row r="195" spans="5:14" x14ac:dyDescent="0.25">
      <c r="E195" s="166"/>
      <c r="F195" s="166"/>
      <c r="G195" s="166"/>
      <c r="H195" s="166"/>
      <c r="I195" s="166"/>
      <c r="J195" s="166"/>
      <c r="K195" s="166"/>
      <c r="L195" s="166"/>
      <c r="M195" s="166"/>
      <c r="N195" s="166"/>
    </row>
    <row r="196" spans="5:14" x14ac:dyDescent="0.25">
      <c r="E196" s="166"/>
      <c r="F196" s="166"/>
      <c r="G196" s="166"/>
      <c r="H196" s="166"/>
      <c r="I196" s="166"/>
      <c r="J196" s="166"/>
      <c r="K196" s="166"/>
      <c r="L196" s="166"/>
      <c r="M196" s="166"/>
      <c r="N196" s="166"/>
    </row>
    <row r="197" spans="5:14" x14ac:dyDescent="0.25">
      <c r="E197" s="166"/>
      <c r="F197" s="166"/>
      <c r="G197" s="166"/>
      <c r="H197" s="166"/>
      <c r="I197" s="166"/>
      <c r="J197" s="166"/>
      <c r="K197" s="166"/>
      <c r="L197" s="166"/>
      <c r="M197" s="166"/>
      <c r="N197" s="166"/>
    </row>
    <row r="198" spans="5:14" x14ac:dyDescent="0.25">
      <c r="E198" s="166"/>
      <c r="F198" s="166"/>
      <c r="G198" s="166"/>
      <c r="H198" s="166"/>
      <c r="I198" s="166"/>
      <c r="J198" s="166"/>
      <c r="K198" s="166"/>
      <c r="L198" s="166"/>
      <c r="M198" s="166"/>
      <c r="N198" s="166"/>
    </row>
    <row r="199" spans="5:14" x14ac:dyDescent="0.25">
      <c r="E199" s="166"/>
      <c r="F199" s="166"/>
      <c r="G199" s="166"/>
      <c r="H199" s="166"/>
      <c r="I199" s="166"/>
      <c r="J199" s="166"/>
      <c r="K199" s="166"/>
      <c r="L199" s="166"/>
      <c r="M199" s="166"/>
      <c r="N199" s="166"/>
    </row>
    <row r="200" spans="5:14" x14ac:dyDescent="0.25"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</row>
    <row r="201" spans="5:14" x14ac:dyDescent="0.25">
      <c r="E201" s="166"/>
      <c r="F201" s="166"/>
      <c r="G201" s="166"/>
      <c r="H201" s="166"/>
      <c r="I201" s="166"/>
      <c r="J201" s="166"/>
      <c r="K201" s="166"/>
      <c r="L201" s="166"/>
      <c r="M201" s="166"/>
      <c r="N201" s="166"/>
    </row>
    <row r="202" spans="5:14" x14ac:dyDescent="0.25"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</row>
    <row r="203" spans="5:14" x14ac:dyDescent="0.25">
      <c r="E203" s="166"/>
      <c r="F203" s="166"/>
      <c r="G203" s="166"/>
      <c r="H203" s="166"/>
      <c r="I203" s="166"/>
      <c r="J203" s="166"/>
      <c r="K203" s="166"/>
      <c r="L203" s="166"/>
      <c r="M203" s="166"/>
      <c r="N203" s="166"/>
    </row>
    <row r="204" spans="5:14" x14ac:dyDescent="0.25">
      <c r="E204" s="166"/>
      <c r="F204" s="166"/>
      <c r="G204" s="166"/>
      <c r="H204" s="166"/>
      <c r="I204" s="166"/>
      <c r="J204" s="166"/>
      <c r="K204" s="166"/>
      <c r="L204" s="166"/>
      <c r="M204" s="166"/>
      <c r="N204" s="166"/>
    </row>
    <row r="205" spans="5:14" x14ac:dyDescent="0.25">
      <c r="E205" s="166"/>
      <c r="F205" s="166"/>
      <c r="G205" s="166"/>
      <c r="H205" s="166"/>
      <c r="I205" s="166"/>
      <c r="J205" s="166"/>
      <c r="K205" s="166"/>
      <c r="L205" s="166"/>
      <c r="M205" s="166"/>
      <c r="N205" s="166"/>
    </row>
    <row r="206" spans="5:14" x14ac:dyDescent="0.25">
      <c r="E206" s="166"/>
      <c r="F206" s="166"/>
      <c r="G206" s="166"/>
      <c r="H206" s="166"/>
      <c r="I206" s="166"/>
      <c r="J206" s="166"/>
      <c r="K206" s="166"/>
      <c r="L206" s="166"/>
      <c r="M206" s="166"/>
      <c r="N206" s="166"/>
    </row>
    <row r="207" spans="5:14" x14ac:dyDescent="0.25"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</row>
    <row r="208" spans="5:14" x14ac:dyDescent="0.25">
      <c r="E208" s="166"/>
      <c r="F208" s="166"/>
      <c r="G208" s="166"/>
      <c r="H208" s="166"/>
      <c r="I208" s="166"/>
      <c r="J208" s="166"/>
      <c r="K208" s="166"/>
      <c r="L208" s="166"/>
      <c r="M208" s="166"/>
      <c r="N208" s="166"/>
    </row>
    <row r="209" spans="5:14" x14ac:dyDescent="0.25">
      <c r="E209" s="166"/>
      <c r="F209" s="166"/>
      <c r="G209" s="166"/>
      <c r="H209" s="166"/>
      <c r="I209" s="166"/>
      <c r="J209" s="166"/>
      <c r="K209" s="166"/>
      <c r="L209" s="166"/>
      <c r="M209" s="166"/>
      <c r="N209" s="166"/>
    </row>
    <row r="210" spans="5:14" x14ac:dyDescent="0.25">
      <c r="E210" s="166"/>
      <c r="F210" s="166"/>
      <c r="G210" s="166"/>
      <c r="H210" s="166"/>
      <c r="I210" s="166"/>
      <c r="J210" s="166"/>
      <c r="K210" s="166"/>
      <c r="L210" s="166"/>
      <c r="M210" s="166"/>
      <c r="N210" s="166"/>
    </row>
    <row r="211" spans="5:14" x14ac:dyDescent="0.25">
      <c r="E211" s="166"/>
      <c r="F211" s="166"/>
      <c r="G211" s="166"/>
      <c r="H211" s="166"/>
      <c r="I211" s="166"/>
      <c r="J211" s="166"/>
      <c r="K211" s="166"/>
      <c r="L211" s="166"/>
      <c r="M211" s="166"/>
      <c r="N211" s="166"/>
    </row>
    <row r="212" spans="5:14" x14ac:dyDescent="0.25">
      <c r="E212" s="166"/>
      <c r="F212" s="166"/>
      <c r="G212" s="166"/>
      <c r="H212" s="166"/>
      <c r="I212" s="166"/>
      <c r="J212" s="166"/>
      <c r="K212" s="166"/>
      <c r="L212" s="166"/>
      <c r="M212" s="166"/>
      <c r="N212" s="166"/>
    </row>
    <row r="213" spans="5:14" x14ac:dyDescent="0.25">
      <c r="E213" s="166"/>
      <c r="F213" s="166"/>
      <c r="G213" s="166"/>
      <c r="H213" s="166"/>
      <c r="I213" s="166"/>
      <c r="J213" s="166"/>
      <c r="K213" s="166"/>
      <c r="L213" s="166"/>
      <c r="M213" s="166"/>
      <c r="N213" s="166"/>
    </row>
    <row r="214" spans="5:14" x14ac:dyDescent="0.25">
      <c r="E214" s="166"/>
      <c r="F214" s="166"/>
      <c r="G214" s="166"/>
      <c r="H214" s="166"/>
      <c r="I214" s="166"/>
      <c r="J214" s="166"/>
      <c r="K214" s="166"/>
      <c r="L214" s="166"/>
      <c r="M214" s="166"/>
      <c r="N214" s="166"/>
    </row>
    <row r="215" spans="5:14" x14ac:dyDescent="0.25">
      <c r="E215" s="166"/>
      <c r="F215" s="166"/>
      <c r="G215" s="166"/>
      <c r="H215" s="166"/>
      <c r="I215" s="166"/>
      <c r="J215" s="166"/>
      <c r="K215" s="166"/>
      <c r="L215" s="166"/>
      <c r="M215" s="166"/>
      <c r="N215" s="166"/>
    </row>
    <row r="216" spans="5:14" x14ac:dyDescent="0.25">
      <c r="E216" s="166"/>
      <c r="F216" s="166"/>
      <c r="G216" s="166"/>
      <c r="H216" s="166"/>
      <c r="I216" s="166"/>
      <c r="J216" s="166"/>
      <c r="K216" s="166"/>
      <c r="L216" s="166"/>
      <c r="M216" s="166"/>
      <c r="N216" s="166"/>
    </row>
    <row r="217" spans="5:14" x14ac:dyDescent="0.25">
      <c r="E217" s="166"/>
      <c r="F217" s="166"/>
      <c r="G217" s="166"/>
      <c r="H217" s="166"/>
      <c r="I217" s="166"/>
      <c r="J217" s="166"/>
      <c r="K217" s="166"/>
      <c r="L217" s="166"/>
      <c r="M217" s="166"/>
      <c r="N217" s="166"/>
    </row>
    <row r="218" spans="5:14" x14ac:dyDescent="0.25">
      <c r="E218" s="166"/>
      <c r="F218" s="166"/>
      <c r="G218" s="166"/>
      <c r="H218" s="166"/>
      <c r="I218" s="166"/>
      <c r="J218" s="166"/>
      <c r="K218" s="166"/>
      <c r="L218" s="166"/>
      <c r="M218" s="166"/>
      <c r="N218" s="166"/>
    </row>
    <row r="219" spans="5:14" x14ac:dyDescent="0.25">
      <c r="E219" s="166"/>
      <c r="F219" s="166"/>
      <c r="G219" s="166"/>
      <c r="H219" s="166"/>
      <c r="I219" s="166"/>
      <c r="J219" s="166"/>
      <c r="K219" s="166"/>
      <c r="L219" s="166"/>
      <c r="M219" s="166"/>
      <c r="N219" s="166"/>
    </row>
    <row r="220" spans="5:14" x14ac:dyDescent="0.25">
      <c r="E220" s="166"/>
      <c r="F220" s="166"/>
      <c r="G220" s="166"/>
      <c r="H220" s="166"/>
      <c r="I220" s="166"/>
      <c r="J220" s="166"/>
      <c r="K220" s="166"/>
      <c r="L220" s="166"/>
      <c r="M220" s="166"/>
      <c r="N220" s="166"/>
    </row>
    <row r="221" spans="5:14" x14ac:dyDescent="0.25">
      <c r="E221" s="166"/>
      <c r="F221" s="166"/>
      <c r="G221" s="166"/>
      <c r="H221" s="166"/>
      <c r="I221" s="166"/>
      <c r="J221" s="166"/>
      <c r="K221" s="166"/>
      <c r="L221" s="166"/>
      <c r="M221" s="166"/>
      <c r="N221" s="166"/>
    </row>
    <row r="222" spans="5:14" x14ac:dyDescent="0.25">
      <c r="E222" s="166"/>
      <c r="F222" s="166"/>
      <c r="G222" s="166"/>
      <c r="H222" s="166"/>
      <c r="I222" s="166"/>
      <c r="J222" s="166"/>
      <c r="K222" s="166"/>
      <c r="L222" s="166"/>
      <c r="M222" s="166"/>
      <c r="N222" s="166"/>
    </row>
    <row r="223" spans="5:14" x14ac:dyDescent="0.25">
      <c r="E223" s="166"/>
      <c r="F223" s="166"/>
      <c r="G223" s="166"/>
      <c r="H223" s="166"/>
      <c r="I223" s="166"/>
      <c r="J223" s="166"/>
      <c r="K223" s="166"/>
      <c r="L223" s="166"/>
      <c r="M223" s="166"/>
      <c r="N223" s="166"/>
    </row>
    <row r="224" spans="5:14" x14ac:dyDescent="0.25">
      <c r="E224" s="166"/>
      <c r="F224" s="166"/>
      <c r="G224" s="166"/>
      <c r="H224" s="166"/>
      <c r="I224" s="166"/>
      <c r="J224" s="166"/>
      <c r="K224" s="166"/>
      <c r="L224" s="166"/>
      <c r="M224" s="166"/>
      <c r="N224" s="166"/>
    </row>
    <row r="225" spans="5:14" x14ac:dyDescent="0.25">
      <c r="E225" s="166"/>
      <c r="F225" s="166"/>
      <c r="G225" s="166"/>
      <c r="H225" s="166"/>
      <c r="I225" s="166"/>
      <c r="J225" s="166"/>
      <c r="K225" s="166"/>
      <c r="L225" s="166"/>
      <c r="M225" s="166"/>
      <c r="N225" s="166"/>
    </row>
    <row r="226" spans="5:14" x14ac:dyDescent="0.25">
      <c r="E226" s="166"/>
      <c r="F226" s="166"/>
      <c r="G226" s="166"/>
      <c r="H226" s="166"/>
      <c r="I226" s="166"/>
      <c r="J226" s="166"/>
      <c r="K226" s="166"/>
      <c r="L226" s="166"/>
      <c r="M226" s="166"/>
      <c r="N226" s="166"/>
    </row>
    <row r="227" spans="5:14" x14ac:dyDescent="0.25">
      <c r="E227" s="166"/>
      <c r="F227" s="166"/>
      <c r="G227" s="166"/>
      <c r="H227" s="166"/>
      <c r="I227" s="166"/>
      <c r="J227" s="166"/>
      <c r="K227" s="166"/>
      <c r="L227" s="166"/>
      <c r="M227" s="166"/>
      <c r="N227" s="166"/>
    </row>
    <row r="228" spans="5:14" x14ac:dyDescent="0.25">
      <c r="E228" s="166"/>
      <c r="F228" s="166"/>
      <c r="G228" s="166"/>
      <c r="H228" s="166"/>
      <c r="I228" s="166"/>
      <c r="J228" s="166"/>
      <c r="K228" s="166"/>
      <c r="L228" s="166"/>
      <c r="M228" s="166"/>
      <c r="N228" s="166"/>
    </row>
    <row r="229" spans="5:14" x14ac:dyDescent="0.25">
      <c r="E229" s="166"/>
      <c r="F229" s="166"/>
      <c r="G229" s="166"/>
      <c r="H229" s="166"/>
      <c r="I229" s="166"/>
      <c r="J229" s="166"/>
      <c r="K229" s="166"/>
      <c r="L229" s="166"/>
      <c r="M229" s="166"/>
      <c r="N229" s="166"/>
    </row>
    <row r="230" spans="5:14" x14ac:dyDescent="0.25">
      <c r="E230" s="166"/>
      <c r="F230" s="166"/>
      <c r="G230" s="166"/>
      <c r="H230" s="166"/>
      <c r="I230" s="166"/>
      <c r="J230" s="166"/>
      <c r="K230" s="166"/>
      <c r="L230" s="166"/>
      <c r="M230" s="166"/>
      <c r="N230" s="166"/>
    </row>
    <row r="231" spans="5:14" x14ac:dyDescent="0.25">
      <c r="E231" s="166"/>
      <c r="F231" s="166"/>
      <c r="G231" s="166"/>
      <c r="H231" s="166"/>
      <c r="I231" s="166"/>
      <c r="J231" s="166"/>
      <c r="K231" s="166"/>
      <c r="L231" s="166"/>
      <c r="M231" s="166"/>
      <c r="N231" s="166"/>
    </row>
    <row r="232" spans="5:14" x14ac:dyDescent="0.25">
      <c r="E232" s="166"/>
      <c r="F232" s="166"/>
      <c r="G232" s="166"/>
      <c r="H232" s="166"/>
      <c r="I232" s="166"/>
      <c r="J232" s="166"/>
      <c r="K232" s="166"/>
      <c r="L232" s="166"/>
      <c r="M232" s="166"/>
      <c r="N232" s="166"/>
    </row>
    <row r="233" spans="5:14" x14ac:dyDescent="0.25">
      <c r="E233" s="166"/>
      <c r="F233" s="166"/>
      <c r="G233" s="166"/>
      <c r="H233" s="166"/>
      <c r="I233" s="166"/>
      <c r="J233" s="166"/>
      <c r="K233" s="166"/>
      <c r="L233" s="166"/>
      <c r="M233" s="166"/>
      <c r="N233" s="166"/>
    </row>
    <row r="234" spans="5:14" x14ac:dyDescent="0.25">
      <c r="E234" s="166"/>
      <c r="F234" s="166"/>
      <c r="G234" s="166"/>
      <c r="H234" s="166"/>
      <c r="I234" s="166"/>
      <c r="J234" s="166"/>
      <c r="K234" s="166"/>
      <c r="L234" s="166"/>
      <c r="M234" s="166"/>
      <c r="N234" s="166"/>
    </row>
    <row r="235" spans="5:14" x14ac:dyDescent="0.25">
      <c r="E235" s="166"/>
      <c r="F235" s="166"/>
      <c r="G235" s="166"/>
      <c r="H235" s="166"/>
      <c r="I235" s="166"/>
      <c r="J235" s="166"/>
      <c r="K235" s="166"/>
      <c r="L235" s="166"/>
      <c r="M235" s="166"/>
      <c r="N235" s="166"/>
    </row>
    <row r="236" spans="5:14" x14ac:dyDescent="0.25">
      <c r="E236" s="166"/>
      <c r="F236" s="166"/>
      <c r="G236" s="166"/>
      <c r="H236" s="166"/>
      <c r="I236" s="166"/>
      <c r="J236" s="166"/>
      <c r="K236" s="166"/>
      <c r="L236" s="166"/>
      <c r="M236" s="166"/>
      <c r="N236" s="166"/>
    </row>
    <row r="237" spans="5:14" x14ac:dyDescent="0.25">
      <c r="E237" s="166"/>
      <c r="F237" s="166"/>
      <c r="G237" s="166"/>
      <c r="H237" s="166"/>
      <c r="I237" s="166"/>
      <c r="J237" s="166"/>
      <c r="K237" s="166"/>
      <c r="L237" s="166"/>
      <c r="M237" s="166"/>
      <c r="N237" s="166"/>
    </row>
    <row r="238" spans="5:14" x14ac:dyDescent="0.25">
      <c r="E238" s="166"/>
      <c r="F238" s="166"/>
      <c r="G238" s="166"/>
      <c r="H238" s="166"/>
      <c r="I238" s="166"/>
      <c r="J238" s="166"/>
      <c r="K238" s="166"/>
      <c r="L238" s="166"/>
      <c r="M238" s="166"/>
      <c r="N238" s="166"/>
    </row>
    <row r="239" spans="5:14" x14ac:dyDescent="0.25">
      <c r="E239" s="166"/>
      <c r="F239" s="166"/>
      <c r="G239" s="166"/>
      <c r="H239" s="166"/>
      <c r="I239" s="166"/>
      <c r="J239" s="166"/>
      <c r="K239" s="166"/>
      <c r="L239" s="166"/>
      <c r="M239" s="166"/>
      <c r="N239" s="166"/>
    </row>
    <row r="240" spans="5:14" x14ac:dyDescent="0.25">
      <c r="E240" s="166"/>
      <c r="F240" s="166"/>
      <c r="G240" s="166"/>
      <c r="H240" s="166"/>
      <c r="I240" s="166"/>
      <c r="J240" s="166"/>
      <c r="K240" s="166"/>
      <c r="L240" s="166"/>
      <c r="M240" s="166"/>
      <c r="N240" s="166"/>
    </row>
    <row r="241" spans="5:14" x14ac:dyDescent="0.25">
      <c r="E241" s="166"/>
      <c r="F241" s="166"/>
      <c r="G241" s="166"/>
      <c r="H241" s="166"/>
      <c r="I241" s="166"/>
      <c r="J241" s="166"/>
      <c r="K241" s="166"/>
      <c r="L241" s="166"/>
      <c r="M241" s="166"/>
      <c r="N241" s="166"/>
    </row>
    <row r="242" spans="5:14" x14ac:dyDescent="0.25">
      <c r="E242" s="166"/>
      <c r="F242" s="166"/>
      <c r="G242" s="166"/>
      <c r="H242" s="166"/>
      <c r="I242" s="166"/>
      <c r="J242" s="166"/>
      <c r="K242" s="166"/>
      <c r="L242" s="166"/>
      <c r="M242" s="166"/>
      <c r="N242" s="166"/>
    </row>
    <row r="243" spans="5:14" x14ac:dyDescent="0.25">
      <c r="E243" s="166"/>
      <c r="F243" s="166"/>
      <c r="G243" s="166"/>
      <c r="H243" s="166"/>
      <c r="I243" s="166"/>
      <c r="J243" s="166"/>
      <c r="K243" s="166"/>
      <c r="L243" s="166"/>
      <c r="M243" s="166"/>
      <c r="N243" s="166"/>
    </row>
    <row r="244" spans="5:14" x14ac:dyDescent="0.25">
      <c r="E244" s="166"/>
      <c r="F244" s="166"/>
      <c r="G244" s="166"/>
      <c r="H244" s="166"/>
      <c r="I244" s="166"/>
      <c r="J244" s="166"/>
      <c r="K244" s="166"/>
      <c r="L244" s="166"/>
      <c r="M244" s="166"/>
      <c r="N244" s="166"/>
    </row>
    <row r="245" spans="5:14" x14ac:dyDescent="0.25">
      <c r="E245" s="166"/>
      <c r="F245" s="166"/>
      <c r="G245" s="166"/>
      <c r="H245" s="166"/>
      <c r="I245" s="166"/>
      <c r="J245" s="166"/>
      <c r="K245" s="166"/>
      <c r="L245" s="166"/>
      <c r="M245" s="166"/>
      <c r="N245" s="166"/>
    </row>
    <row r="246" spans="5:14" x14ac:dyDescent="0.25">
      <c r="E246" s="166"/>
      <c r="F246" s="166"/>
      <c r="G246" s="166"/>
      <c r="H246" s="166"/>
      <c r="I246" s="166"/>
      <c r="J246" s="166"/>
      <c r="K246" s="166"/>
      <c r="L246" s="166"/>
      <c r="M246" s="166"/>
      <c r="N246" s="166"/>
    </row>
    <row r="247" spans="5:14" x14ac:dyDescent="0.25">
      <c r="E247" s="166"/>
      <c r="F247" s="166"/>
      <c r="G247" s="166"/>
      <c r="H247" s="166"/>
      <c r="I247" s="166"/>
      <c r="J247" s="166"/>
      <c r="K247" s="166"/>
      <c r="L247" s="166"/>
      <c r="M247" s="166"/>
      <c r="N247" s="166"/>
    </row>
    <row r="248" spans="5:14" x14ac:dyDescent="0.25">
      <c r="E248" s="166"/>
      <c r="F248" s="166"/>
      <c r="G248" s="166"/>
      <c r="H248" s="166"/>
      <c r="I248" s="166"/>
      <c r="J248" s="166"/>
      <c r="K248" s="166"/>
      <c r="L248" s="166"/>
      <c r="M248" s="166"/>
      <c r="N248" s="166"/>
    </row>
    <row r="249" spans="5:14" x14ac:dyDescent="0.25">
      <c r="E249" s="166"/>
      <c r="F249" s="166"/>
      <c r="G249" s="166"/>
      <c r="H249" s="166"/>
      <c r="I249" s="166"/>
      <c r="J249" s="166"/>
      <c r="K249" s="166"/>
      <c r="L249" s="166"/>
      <c r="M249" s="166"/>
      <c r="N249" s="166"/>
    </row>
    <row r="250" spans="5:14" x14ac:dyDescent="0.25">
      <c r="E250" s="166"/>
      <c r="F250" s="166"/>
      <c r="G250" s="166"/>
      <c r="H250" s="166"/>
      <c r="I250" s="166"/>
      <c r="J250" s="166"/>
      <c r="K250" s="166"/>
      <c r="L250" s="166"/>
      <c r="M250" s="166"/>
      <c r="N250" s="166"/>
    </row>
    <row r="251" spans="5:14" x14ac:dyDescent="0.25">
      <c r="E251" s="166"/>
      <c r="F251" s="166"/>
      <c r="G251" s="166"/>
      <c r="H251" s="166"/>
      <c r="I251" s="166"/>
      <c r="J251" s="166"/>
      <c r="K251" s="166"/>
      <c r="L251" s="166"/>
      <c r="M251" s="166"/>
      <c r="N251" s="166"/>
    </row>
    <row r="252" spans="5:14" x14ac:dyDescent="0.25">
      <c r="E252" s="166"/>
      <c r="F252" s="166"/>
      <c r="G252" s="166"/>
      <c r="H252" s="166"/>
      <c r="I252" s="166"/>
      <c r="J252" s="166"/>
      <c r="K252" s="166"/>
      <c r="L252" s="166"/>
      <c r="M252" s="166"/>
      <c r="N252" s="166"/>
    </row>
    <row r="253" spans="5:14" x14ac:dyDescent="0.25">
      <c r="E253" s="166"/>
      <c r="F253" s="166"/>
      <c r="G253" s="166"/>
      <c r="H253" s="166"/>
      <c r="I253" s="166"/>
      <c r="J253" s="166"/>
      <c r="K253" s="166"/>
      <c r="L253" s="166"/>
      <c r="M253" s="166"/>
      <c r="N253" s="166"/>
    </row>
    <row r="254" spans="5:14" x14ac:dyDescent="0.25">
      <c r="E254" s="166"/>
      <c r="F254" s="166"/>
      <c r="G254" s="166"/>
      <c r="H254" s="166"/>
      <c r="I254" s="166"/>
      <c r="J254" s="166"/>
      <c r="K254" s="166"/>
      <c r="L254" s="166"/>
      <c r="M254" s="166"/>
      <c r="N254" s="166"/>
    </row>
    <row r="255" spans="5:14" x14ac:dyDescent="0.25">
      <c r="E255" s="166"/>
      <c r="F255" s="166"/>
      <c r="G255" s="166"/>
      <c r="H255" s="166"/>
      <c r="I255" s="166"/>
      <c r="J255" s="166"/>
      <c r="K255" s="166"/>
      <c r="L255" s="166"/>
      <c r="M255" s="166"/>
      <c r="N255" s="166"/>
    </row>
    <row r="256" spans="5:14" x14ac:dyDescent="0.25">
      <c r="E256" s="166"/>
      <c r="F256" s="166"/>
      <c r="G256" s="166"/>
      <c r="H256" s="166"/>
      <c r="I256" s="166"/>
      <c r="J256" s="166"/>
      <c r="K256" s="166"/>
      <c r="L256" s="166"/>
      <c r="M256" s="166"/>
      <c r="N256" s="166"/>
    </row>
    <row r="257" spans="5:14" x14ac:dyDescent="0.25">
      <c r="E257" s="166"/>
      <c r="F257" s="166"/>
      <c r="G257" s="166"/>
      <c r="H257" s="166"/>
      <c r="I257" s="166"/>
      <c r="J257" s="166"/>
      <c r="K257" s="166"/>
      <c r="L257" s="166"/>
      <c r="M257" s="166"/>
      <c r="N257" s="166"/>
    </row>
    <row r="258" spans="5:14" x14ac:dyDescent="0.25">
      <c r="E258" s="166"/>
      <c r="F258" s="166"/>
      <c r="G258" s="166"/>
      <c r="H258" s="166"/>
      <c r="I258" s="166"/>
      <c r="J258" s="166"/>
      <c r="K258" s="166"/>
      <c r="L258" s="166"/>
      <c r="M258" s="166"/>
      <c r="N258" s="166"/>
    </row>
    <row r="259" spans="5:14" x14ac:dyDescent="0.25">
      <c r="E259" s="166"/>
      <c r="F259" s="166"/>
      <c r="G259" s="166"/>
      <c r="H259" s="166"/>
      <c r="I259" s="166"/>
      <c r="J259" s="166"/>
      <c r="K259" s="166"/>
      <c r="L259" s="166"/>
      <c r="M259" s="166"/>
      <c r="N259" s="166"/>
    </row>
    <row r="260" spans="5:14" x14ac:dyDescent="0.25">
      <c r="E260" s="166"/>
      <c r="F260" s="166"/>
      <c r="G260" s="166"/>
      <c r="H260" s="166"/>
      <c r="I260" s="166"/>
      <c r="J260" s="166"/>
      <c r="K260" s="166"/>
      <c r="L260" s="166"/>
      <c r="M260" s="166"/>
      <c r="N260" s="166"/>
    </row>
    <row r="261" spans="5:14" x14ac:dyDescent="0.25">
      <c r="E261" s="166"/>
      <c r="F261" s="166"/>
      <c r="G261" s="166"/>
      <c r="H261" s="166"/>
      <c r="I261" s="166"/>
      <c r="J261" s="166"/>
      <c r="K261" s="166"/>
      <c r="L261" s="166"/>
      <c r="M261" s="166"/>
      <c r="N261" s="166"/>
    </row>
    <row r="262" spans="5:14" x14ac:dyDescent="0.25">
      <c r="E262" s="166"/>
      <c r="F262" s="166"/>
      <c r="G262" s="166"/>
      <c r="H262" s="166"/>
      <c r="I262" s="166"/>
      <c r="J262" s="166"/>
      <c r="K262" s="166"/>
      <c r="L262" s="166"/>
      <c r="M262" s="166"/>
      <c r="N262" s="166"/>
    </row>
    <row r="263" spans="5:14" x14ac:dyDescent="0.25">
      <c r="E263" s="166"/>
      <c r="F263" s="166"/>
      <c r="G263" s="166"/>
      <c r="H263" s="166"/>
      <c r="I263" s="166"/>
      <c r="J263" s="166"/>
      <c r="K263" s="166"/>
      <c r="L263" s="166"/>
      <c r="M263" s="166"/>
      <c r="N263" s="166"/>
    </row>
    <row r="264" spans="5:14" x14ac:dyDescent="0.25">
      <c r="E264" s="166"/>
      <c r="F264" s="166"/>
      <c r="G264" s="166"/>
      <c r="H264" s="166"/>
      <c r="I264" s="166"/>
      <c r="J264" s="166"/>
      <c r="K264" s="166"/>
      <c r="L264" s="166"/>
      <c r="M264" s="166"/>
      <c r="N264" s="166"/>
    </row>
    <row r="265" spans="5:14" x14ac:dyDescent="0.25">
      <c r="E265" s="166"/>
      <c r="F265" s="166"/>
      <c r="G265" s="166"/>
      <c r="H265" s="166"/>
      <c r="I265" s="166"/>
      <c r="J265" s="166"/>
      <c r="K265" s="166"/>
      <c r="L265" s="166"/>
      <c r="M265" s="166"/>
      <c r="N265" s="166"/>
    </row>
    <row r="266" spans="5:14" x14ac:dyDescent="0.25">
      <c r="E266" s="166"/>
      <c r="F266" s="166"/>
      <c r="G266" s="166"/>
      <c r="H266" s="166"/>
      <c r="I266" s="166"/>
      <c r="J266" s="166"/>
      <c r="K266" s="166"/>
      <c r="L266" s="166"/>
      <c r="M266" s="166"/>
      <c r="N266" s="166"/>
    </row>
    <row r="267" spans="5:14" x14ac:dyDescent="0.25">
      <c r="E267" s="166"/>
      <c r="F267" s="166"/>
      <c r="G267" s="166"/>
      <c r="H267" s="166"/>
      <c r="I267" s="166"/>
      <c r="J267" s="166"/>
      <c r="K267" s="166"/>
      <c r="L267" s="166"/>
      <c r="M267" s="166"/>
      <c r="N267" s="166"/>
    </row>
    <row r="268" spans="5:14" x14ac:dyDescent="0.25">
      <c r="E268" s="166"/>
      <c r="F268" s="166"/>
      <c r="G268" s="166"/>
      <c r="H268" s="166"/>
      <c r="I268" s="166"/>
      <c r="J268" s="166"/>
      <c r="K268" s="166"/>
      <c r="L268" s="166"/>
      <c r="M268" s="166"/>
      <c r="N268" s="166"/>
    </row>
    <row r="269" spans="5:14" x14ac:dyDescent="0.25">
      <c r="E269" s="166"/>
      <c r="F269" s="166"/>
      <c r="G269" s="166"/>
      <c r="H269" s="166"/>
      <c r="I269" s="166"/>
      <c r="J269" s="166"/>
      <c r="K269" s="166"/>
      <c r="L269" s="166"/>
      <c r="M269" s="166"/>
      <c r="N269" s="166"/>
    </row>
    <row r="270" spans="5:14" x14ac:dyDescent="0.25">
      <c r="E270" s="166"/>
      <c r="F270" s="166"/>
      <c r="G270" s="166"/>
      <c r="H270" s="166"/>
      <c r="I270" s="166"/>
      <c r="J270" s="166"/>
      <c r="K270" s="166"/>
      <c r="L270" s="166"/>
      <c r="M270" s="166"/>
      <c r="N270" s="166"/>
    </row>
    <row r="271" spans="5:14" x14ac:dyDescent="0.25">
      <c r="E271" s="166"/>
      <c r="F271" s="166"/>
      <c r="G271" s="166"/>
      <c r="H271" s="166"/>
      <c r="I271" s="166"/>
      <c r="J271" s="166"/>
      <c r="K271" s="166"/>
      <c r="L271" s="166"/>
      <c r="M271" s="166"/>
      <c r="N271" s="166"/>
    </row>
    <row r="272" spans="5:14" x14ac:dyDescent="0.25">
      <c r="E272" s="166"/>
      <c r="F272" s="166"/>
      <c r="G272" s="166"/>
      <c r="H272" s="166"/>
      <c r="I272" s="166"/>
      <c r="J272" s="166"/>
      <c r="K272" s="166"/>
      <c r="L272" s="166"/>
      <c r="M272" s="166"/>
      <c r="N272" s="166"/>
    </row>
    <row r="273" spans="5:14" x14ac:dyDescent="0.25">
      <c r="E273" s="166"/>
      <c r="F273" s="166"/>
      <c r="G273" s="166"/>
      <c r="H273" s="166"/>
      <c r="I273" s="166"/>
      <c r="J273" s="166"/>
      <c r="K273" s="166"/>
      <c r="L273" s="166"/>
      <c r="M273" s="166"/>
      <c r="N273" s="166"/>
    </row>
    <row r="274" spans="5:14" x14ac:dyDescent="0.25">
      <c r="E274" s="166"/>
      <c r="F274" s="166"/>
      <c r="G274" s="166"/>
      <c r="H274" s="166"/>
      <c r="I274" s="166"/>
      <c r="J274" s="166"/>
      <c r="K274" s="166"/>
      <c r="L274" s="166"/>
      <c r="M274" s="166"/>
      <c r="N274" s="166"/>
    </row>
    <row r="275" spans="5:14" x14ac:dyDescent="0.25">
      <c r="E275" s="166"/>
      <c r="F275" s="166"/>
      <c r="G275" s="166"/>
      <c r="H275" s="166"/>
      <c r="I275" s="166"/>
      <c r="J275" s="166"/>
      <c r="K275" s="166"/>
      <c r="L275" s="166"/>
      <c r="M275" s="166"/>
      <c r="N275" s="166"/>
    </row>
    <row r="276" spans="5:14" x14ac:dyDescent="0.25">
      <c r="E276" s="166"/>
      <c r="F276" s="166"/>
      <c r="G276" s="166"/>
      <c r="H276" s="166"/>
      <c r="I276" s="166"/>
      <c r="J276" s="166"/>
      <c r="K276" s="166"/>
      <c r="L276" s="166"/>
      <c r="M276" s="166"/>
      <c r="N276" s="166"/>
    </row>
    <row r="277" spans="5:14" x14ac:dyDescent="0.25">
      <c r="E277" s="166"/>
      <c r="F277" s="166"/>
      <c r="G277" s="166"/>
      <c r="H277" s="166"/>
      <c r="I277" s="166"/>
      <c r="J277" s="166"/>
      <c r="K277" s="166"/>
      <c r="L277" s="166"/>
      <c r="M277" s="166"/>
      <c r="N277" s="166"/>
    </row>
    <row r="278" spans="5:14" x14ac:dyDescent="0.25">
      <c r="E278" s="166"/>
      <c r="F278" s="166"/>
      <c r="G278" s="166"/>
      <c r="H278" s="166"/>
      <c r="I278" s="166"/>
      <c r="J278" s="166"/>
      <c r="K278" s="166"/>
      <c r="L278" s="166"/>
      <c r="M278" s="166"/>
      <c r="N278" s="166"/>
    </row>
    <row r="279" spans="5:14" x14ac:dyDescent="0.25">
      <c r="E279" s="166"/>
      <c r="F279" s="166"/>
      <c r="G279" s="166"/>
      <c r="H279" s="166"/>
      <c r="I279" s="166"/>
      <c r="J279" s="166"/>
      <c r="K279" s="166"/>
      <c r="L279" s="166"/>
      <c r="M279" s="166"/>
      <c r="N279" s="166"/>
    </row>
    <row r="280" spans="5:14" x14ac:dyDescent="0.25">
      <c r="E280" s="166"/>
      <c r="F280" s="166"/>
      <c r="G280" s="166"/>
      <c r="H280" s="166"/>
      <c r="I280" s="166"/>
      <c r="J280" s="166"/>
      <c r="K280" s="166"/>
      <c r="L280" s="166"/>
      <c r="M280" s="166"/>
      <c r="N280" s="166"/>
    </row>
    <row r="281" spans="5:14" x14ac:dyDescent="0.25">
      <c r="E281" s="166"/>
      <c r="F281" s="166"/>
      <c r="G281" s="166"/>
      <c r="H281" s="166"/>
      <c r="I281" s="166"/>
      <c r="J281" s="166"/>
      <c r="K281" s="166"/>
      <c r="L281" s="166"/>
      <c r="M281" s="166"/>
      <c r="N281" s="166"/>
    </row>
    <row r="282" spans="5:14" x14ac:dyDescent="0.25">
      <c r="E282" s="166"/>
      <c r="F282" s="166"/>
      <c r="G282" s="166"/>
      <c r="H282" s="166"/>
      <c r="I282" s="166"/>
      <c r="J282" s="166"/>
      <c r="K282" s="166"/>
      <c r="L282" s="166"/>
      <c r="M282" s="166"/>
      <c r="N282" s="166"/>
    </row>
    <row r="283" spans="5:14" x14ac:dyDescent="0.25">
      <c r="E283" s="166"/>
      <c r="F283" s="166"/>
      <c r="G283" s="166"/>
      <c r="H283" s="166"/>
      <c r="I283" s="166"/>
      <c r="J283" s="166"/>
      <c r="K283" s="166"/>
      <c r="L283" s="166"/>
      <c r="M283" s="166"/>
      <c r="N283" s="166"/>
    </row>
    <row r="284" spans="5:14" x14ac:dyDescent="0.25">
      <c r="E284" s="166"/>
      <c r="F284" s="166"/>
      <c r="G284" s="166"/>
      <c r="H284" s="166"/>
      <c r="I284" s="166"/>
      <c r="J284" s="166"/>
      <c r="K284" s="166"/>
      <c r="L284" s="166"/>
      <c r="M284" s="166"/>
      <c r="N284" s="166"/>
    </row>
    <row r="285" spans="5:14" x14ac:dyDescent="0.25">
      <c r="E285" s="166"/>
      <c r="F285" s="166"/>
      <c r="G285" s="166"/>
      <c r="H285" s="166"/>
      <c r="I285" s="166"/>
      <c r="J285" s="166"/>
      <c r="K285" s="166"/>
      <c r="L285" s="166"/>
      <c r="M285" s="166"/>
      <c r="N285" s="166"/>
    </row>
    <row r="286" spans="5:14" x14ac:dyDescent="0.25">
      <c r="E286" s="166"/>
      <c r="F286" s="166"/>
      <c r="G286" s="166"/>
      <c r="H286" s="166"/>
      <c r="I286" s="166"/>
      <c r="J286" s="166"/>
      <c r="K286" s="166"/>
      <c r="L286" s="166"/>
      <c r="M286" s="166"/>
      <c r="N286" s="166"/>
    </row>
    <row r="287" spans="5:14" x14ac:dyDescent="0.25">
      <c r="E287" s="166"/>
      <c r="F287" s="166"/>
      <c r="G287" s="166"/>
      <c r="H287" s="166"/>
      <c r="I287" s="166"/>
      <c r="J287" s="166"/>
      <c r="K287" s="166"/>
      <c r="L287" s="166"/>
      <c r="M287" s="166"/>
      <c r="N287" s="166"/>
    </row>
    <row r="288" spans="5:14" x14ac:dyDescent="0.25"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</row>
    <row r="289" spans="5:14" x14ac:dyDescent="0.25">
      <c r="E289" s="166"/>
      <c r="F289" s="166"/>
      <c r="G289" s="166"/>
      <c r="H289" s="166"/>
      <c r="I289" s="166"/>
      <c r="J289" s="166"/>
      <c r="K289" s="166"/>
      <c r="L289" s="166"/>
      <c r="M289" s="166"/>
      <c r="N289" s="166"/>
    </row>
    <row r="290" spans="5:14" x14ac:dyDescent="0.25">
      <c r="E290" s="166"/>
      <c r="F290" s="166"/>
      <c r="G290" s="166"/>
      <c r="H290" s="166"/>
      <c r="I290" s="166"/>
      <c r="J290" s="166"/>
      <c r="K290" s="166"/>
      <c r="L290" s="166"/>
      <c r="M290" s="166"/>
      <c r="N290" s="166"/>
    </row>
    <row r="291" spans="5:14" x14ac:dyDescent="0.25">
      <c r="E291" s="166"/>
      <c r="F291" s="166"/>
      <c r="G291" s="166"/>
      <c r="H291" s="166"/>
      <c r="I291" s="166"/>
      <c r="J291" s="166"/>
      <c r="K291" s="166"/>
      <c r="L291" s="166"/>
      <c r="M291" s="166"/>
      <c r="N291" s="166"/>
    </row>
    <row r="292" spans="5:14" x14ac:dyDescent="0.25">
      <c r="E292" s="166"/>
      <c r="F292" s="166"/>
      <c r="G292" s="166"/>
      <c r="H292" s="166"/>
      <c r="I292" s="166"/>
      <c r="J292" s="166"/>
      <c r="K292" s="166"/>
      <c r="L292" s="166"/>
      <c r="M292" s="166"/>
      <c r="N292" s="166"/>
    </row>
    <row r="293" spans="5:14" x14ac:dyDescent="0.25">
      <c r="E293" s="166"/>
      <c r="F293" s="166"/>
      <c r="G293" s="166"/>
      <c r="H293" s="166"/>
      <c r="I293" s="166"/>
      <c r="J293" s="166"/>
      <c r="K293" s="166"/>
      <c r="L293" s="166"/>
      <c r="M293" s="166"/>
      <c r="N293" s="166"/>
    </row>
    <row r="294" spans="5:14" x14ac:dyDescent="0.25">
      <c r="E294" s="166"/>
      <c r="F294" s="166"/>
      <c r="G294" s="166"/>
      <c r="H294" s="166"/>
      <c r="I294" s="166"/>
      <c r="J294" s="166"/>
      <c r="K294" s="166"/>
      <c r="L294" s="166"/>
      <c r="M294" s="166"/>
      <c r="N294" s="166"/>
    </row>
    <row r="295" spans="5:14" x14ac:dyDescent="0.25">
      <c r="E295" s="166"/>
      <c r="F295" s="166"/>
      <c r="G295" s="166"/>
      <c r="H295" s="166"/>
      <c r="I295" s="166"/>
      <c r="J295" s="166"/>
      <c r="K295" s="166"/>
      <c r="L295" s="166"/>
      <c r="M295" s="166"/>
      <c r="N295" s="166"/>
    </row>
    <row r="296" spans="5:14" x14ac:dyDescent="0.25">
      <c r="E296" s="166"/>
      <c r="F296" s="166"/>
      <c r="G296" s="166"/>
      <c r="H296" s="166"/>
      <c r="I296" s="166"/>
      <c r="J296" s="166"/>
      <c r="K296" s="166"/>
      <c r="L296" s="166"/>
      <c r="M296" s="166"/>
      <c r="N296" s="166"/>
    </row>
    <row r="297" spans="5:14" x14ac:dyDescent="0.25">
      <c r="E297" s="166"/>
      <c r="F297" s="166"/>
      <c r="G297" s="166"/>
      <c r="H297" s="166"/>
      <c r="I297" s="166"/>
      <c r="J297" s="166"/>
      <c r="K297" s="166"/>
      <c r="L297" s="166"/>
      <c r="M297" s="166"/>
      <c r="N297" s="166"/>
    </row>
    <row r="298" spans="5:14" x14ac:dyDescent="0.25">
      <c r="E298" s="166"/>
      <c r="F298" s="166"/>
      <c r="G298" s="166"/>
      <c r="H298" s="166"/>
      <c r="I298" s="166"/>
      <c r="J298" s="166"/>
      <c r="K298" s="166"/>
      <c r="L298" s="166"/>
      <c r="M298" s="166"/>
      <c r="N298" s="166"/>
    </row>
    <row r="299" spans="5:14" x14ac:dyDescent="0.25">
      <c r="E299" s="166"/>
      <c r="F299" s="166"/>
      <c r="G299" s="166"/>
      <c r="H299" s="166"/>
      <c r="I299" s="166"/>
      <c r="J299" s="166"/>
      <c r="K299" s="166"/>
      <c r="L299" s="166"/>
      <c r="M299" s="166"/>
      <c r="N299" s="166"/>
    </row>
    <row r="300" spans="5:14" x14ac:dyDescent="0.25">
      <c r="E300" s="166"/>
      <c r="F300" s="166"/>
      <c r="G300" s="166"/>
      <c r="H300" s="166"/>
      <c r="I300" s="166"/>
      <c r="J300" s="166"/>
      <c r="K300" s="166"/>
      <c r="L300" s="166"/>
      <c r="M300" s="166"/>
      <c r="N300" s="166"/>
    </row>
    <row r="301" spans="5:14" x14ac:dyDescent="0.25">
      <c r="E301" s="166"/>
      <c r="F301" s="166"/>
      <c r="G301" s="166"/>
      <c r="H301" s="166"/>
      <c r="I301" s="166"/>
      <c r="J301" s="166"/>
      <c r="K301" s="166"/>
      <c r="L301" s="166"/>
      <c r="M301" s="166"/>
      <c r="N301" s="166"/>
    </row>
    <row r="302" spans="5:14" x14ac:dyDescent="0.25">
      <c r="E302" s="166"/>
      <c r="F302" s="166"/>
      <c r="G302" s="166"/>
      <c r="H302" s="166"/>
      <c r="I302" s="166"/>
      <c r="J302" s="166"/>
      <c r="K302" s="166"/>
      <c r="L302" s="166"/>
      <c r="M302" s="166"/>
      <c r="N302" s="166"/>
    </row>
    <row r="303" spans="5:14" x14ac:dyDescent="0.25">
      <c r="E303" s="166"/>
      <c r="F303" s="166"/>
      <c r="G303" s="166"/>
      <c r="H303" s="166"/>
      <c r="I303" s="166"/>
      <c r="J303" s="166"/>
      <c r="K303" s="166"/>
      <c r="L303" s="166"/>
      <c r="M303" s="166"/>
      <c r="N303" s="166"/>
    </row>
    <row r="304" spans="5:14" x14ac:dyDescent="0.25">
      <c r="E304" s="166"/>
      <c r="F304" s="166"/>
      <c r="G304" s="166"/>
      <c r="H304" s="166"/>
      <c r="I304" s="166"/>
      <c r="J304" s="166"/>
      <c r="K304" s="166"/>
      <c r="L304" s="166"/>
      <c r="M304" s="166"/>
      <c r="N304" s="166"/>
    </row>
    <row r="305" spans="5:14" x14ac:dyDescent="0.25">
      <c r="E305" s="166"/>
      <c r="F305" s="166"/>
      <c r="G305" s="166"/>
      <c r="H305" s="166"/>
      <c r="I305" s="166"/>
      <c r="J305" s="166"/>
      <c r="K305" s="166"/>
      <c r="L305" s="166"/>
      <c r="M305" s="166"/>
      <c r="N305" s="166"/>
    </row>
    <row r="306" spans="5:14" x14ac:dyDescent="0.25">
      <c r="E306" s="166"/>
      <c r="F306" s="166"/>
      <c r="G306" s="166"/>
      <c r="H306" s="166"/>
      <c r="I306" s="166"/>
      <c r="J306" s="166"/>
      <c r="K306" s="166"/>
      <c r="L306" s="166"/>
      <c r="M306" s="166"/>
      <c r="N306" s="166"/>
    </row>
    <row r="307" spans="5:14" x14ac:dyDescent="0.25">
      <c r="E307" s="166"/>
      <c r="F307" s="166"/>
      <c r="G307" s="166"/>
      <c r="H307" s="166"/>
      <c r="I307" s="166"/>
      <c r="J307" s="166"/>
      <c r="K307" s="166"/>
      <c r="L307" s="166"/>
      <c r="M307" s="166"/>
      <c r="N307" s="166"/>
    </row>
    <row r="308" spans="5:14" x14ac:dyDescent="0.25">
      <c r="E308" s="166"/>
      <c r="F308" s="166"/>
      <c r="G308" s="166"/>
      <c r="H308" s="166"/>
      <c r="I308" s="166"/>
      <c r="J308" s="166"/>
      <c r="K308" s="166"/>
      <c r="L308" s="166"/>
      <c r="M308" s="166"/>
      <c r="N308" s="166"/>
    </row>
    <row r="309" spans="5:14" x14ac:dyDescent="0.25">
      <c r="E309" s="166"/>
      <c r="F309" s="166"/>
      <c r="G309" s="166"/>
      <c r="H309" s="166"/>
      <c r="I309" s="166"/>
      <c r="J309" s="166"/>
      <c r="K309" s="166"/>
      <c r="L309" s="166"/>
      <c r="M309" s="166"/>
      <c r="N309" s="166"/>
    </row>
    <row r="310" spans="5:14" x14ac:dyDescent="0.25">
      <c r="E310" s="166"/>
      <c r="F310" s="166"/>
      <c r="G310" s="166"/>
      <c r="H310" s="166"/>
      <c r="I310" s="166"/>
      <c r="J310" s="166"/>
      <c r="K310" s="166"/>
      <c r="L310" s="166"/>
      <c r="M310" s="166"/>
      <c r="N310" s="166"/>
    </row>
    <row r="311" spans="5:14" x14ac:dyDescent="0.25">
      <c r="E311" s="166"/>
      <c r="F311" s="166"/>
      <c r="G311" s="166"/>
      <c r="H311" s="166"/>
      <c r="I311" s="166"/>
      <c r="J311" s="166"/>
      <c r="K311" s="166"/>
      <c r="L311" s="166"/>
      <c r="M311" s="166"/>
      <c r="N311" s="166"/>
    </row>
    <row r="312" spans="5:14" x14ac:dyDescent="0.25">
      <c r="E312" s="166"/>
      <c r="F312" s="166"/>
      <c r="G312" s="166"/>
      <c r="H312" s="166"/>
      <c r="I312" s="166"/>
      <c r="J312" s="166"/>
      <c r="K312" s="166"/>
      <c r="L312" s="166"/>
      <c r="M312" s="166"/>
      <c r="N312" s="166"/>
    </row>
  </sheetData>
  <pageMargins left="0.7" right="0.7" top="0.75" bottom="0.75" header="0.3" footer="0.3"/>
  <ignoredErrors>
    <ignoredError sqref="J19 J23 J10 J6" formulaRange="1"/>
  </ignoredError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61AD5-0A77-4C4F-9C82-3DB8ED579276}">
  <dimension ref="A1:P67"/>
  <sheetViews>
    <sheetView showGridLines="0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5.75" x14ac:dyDescent="0.25"/>
  <cols>
    <col min="1" max="2" width="3.75" customWidth="1"/>
    <col min="3" max="3" width="35.25" customWidth="1"/>
    <col min="4" max="4" width="11.625" customWidth="1"/>
    <col min="5" max="5" width="10.625" bestFit="1" customWidth="1"/>
    <col min="6" max="14" width="11.375" bestFit="1" customWidth="1"/>
  </cols>
  <sheetData>
    <row r="1" spans="1:14" x14ac:dyDescent="0.25">
      <c r="A1" s="6" t="s">
        <v>25</v>
      </c>
      <c r="E1" s="8" t="s">
        <v>15</v>
      </c>
      <c r="F1" s="9"/>
      <c r="G1" s="9"/>
      <c r="H1" s="9"/>
      <c r="I1" s="9"/>
      <c r="J1" s="7" t="s">
        <v>16</v>
      </c>
      <c r="K1" s="2"/>
      <c r="L1" s="2"/>
      <c r="M1" s="2"/>
      <c r="N1" s="2"/>
    </row>
    <row r="2" spans="1:14" x14ac:dyDescent="0.25">
      <c r="E2" s="12">
        <v>2021</v>
      </c>
      <c r="F2" s="12">
        <v>2022</v>
      </c>
      <c r="G2" s="12">
        <v>2023</v>
      </c>
      <c r="H2" s="12">
        <v>2024</v>
      </c>
      <c r="I2" s="12">
        <v>2025</v>
      </c>
      <c r="J2" s="13">
        <v>2026</v>
      </c>
      <c r="K2" s="13">
        <v>2027</v>
      </c>
      <c r="L2" s="13">
        <v>2028</v>
      </c>
      <c r="M2" s="13">
        <v>2029</v>
      </c>
      <c r="N2" s="13">
        <v>2030</v>
      </c>
    </row>
    <row r="3" spans="1:14" x14ac:dyDescent="0.25">
      <c r="A3" s="1" t="s">
        <v>266</v>
      </c>
    </row>
    <row r="4" spans="1:14" x14ac:dyDescent="0.25">
      <c r="B4" t="s">
        <v>173</v>
      </c>
      <c r="E4" s="176"/>
      <c r="F4" s="176">
        <f t="shared" ref="F4:N4" si="0">E8</f>
        <v>106222.91</v>
      </c>
      <c r="G4" s="176">
        <f t="shared" si="0"/>
        <v>121013.51999999999</v>
      </c>
      <c r="H4" s="176">
        <f t="shared" si="0"/>
        <v>148054.96</v>
      </c>
      <c r="I4" s="176">
        <f t="shared" si="0"/>
        <v>168079.53</v>
      </c>
      <c r="J4" s="168">
        <f t="shared" si="0"/>
        <v>198073.04</v>
      </c>
      <c r="K4" s="168">
        <f t="shared" si="0"/>
        <v>219753.86282306054</v>
      </c>
      <c r="L4" s="168">
        <f t="shared" si="0"/>
        <v>236384.90156137504</v>
      </c>
      <c r="M4" s="168">
        <f t="shared" si="0"/>
        <v>249182.10424988545</v>
      </c>
      <c r="N4" s="168">
        <f t="shared" si="0"/>
        <v>258737.34461978229</v>
      </c>
    </row>
    <row r="5" spans="1:14" x14ac:dyDescent="0.25">
      <c r="C5" s="6" t="s">
        <v>373</v>
      </c>
      <c r="E5" s="176"/>
      <c r="F5" s="176"/>
      <c r="G5" s="176"/>
      <c r="H5" s="176"/>
      <c r="I5" s="176"/>
      <c r="J5" s="253">
        <v>56663</v>
      </c>
      <c r="K5" s="253">
        <v>42014</v>
      </c>
      <c r="L5" s="253">
        <v>28032</v>
      </c>
      <c r="M5" s="253">
        <v>11637</v>
      </c>
      <c r="N5" s="253">
        <v>13534</v>
      </c>
    </row>
    <row r="6" spans="1:14" x14ac:dyDescent="0.25">
      <c r="C6" s="6" t="s">
        <v>374</v>
      </c>
      <c r="E6" s="176"/>
      <c r="F6" s="176"/>
      <c r="G6" s="176"/>
      <c r="H6" s="176"/>
      <c r="I6" s="176"/>
      <c r="J6" s="168">
        <f t="shared" ref="J6:N6" si="1">J5</f>
        <v>56663</v>
      </c>
      <c r="K6" s="168">
        <f t="shared" si="1"/>
        <v>42014</v>
      </c>
      <c r="L6" s="168">
        <f t="shared" si="1"/>
        <v>28032</v>
      </c>
      <c r="M6" s="168">
        <f t="shared" si="1"/>
        <v>11637</v>
      </c>
      <c r="N6" s="168">
        <f t="shared" si="1"/>
        <v>13534</v>
      </c>
    </row>
    <row r="7" spans="1:14" x14ac:dyDescent="0.25">
      <c r="C7" s="6" t="s">
        <v>174</v>
      </c>
      <c r="E7" s="176"/>
      <c r="F7" s="176">
        <f>F8-F4</f>
        <v>14790.609999999986</v>
      </c>
      <c r="G7" s="176">
        <f>G8-G4</f>
        <v>27041.440000000002</v>
      </c>
      <c r="H7" s="176">
        <f>H8-H4</f>
        <v>20024.570000000007</v>
      </c>
      <c r="I7" s="176">
        <f>I8-I4</f>
        <v>29993.510000000009</v>
      </c>
      <c r="J7" s="168">
        <f>'Data &amp; Assumptions'!J175</f>
        <v>21680.822823060531</v>
      </c>
      <c r="K7" s="168">
        <f>'Data &amp; Assumptions'!K175</f>
        <v>16631.038738314499</v>
      </c>
      <c r="L7" s="168">
        <f>'Data &amp; Assumptions'!L175</f>
        <v>12797.202688510408</v>
      </c>
      <c r="M7" s="168">
        <f>'Data &amp; Assumptions'!M175</f>
        <v>9555.2403698968501</v>
      </c>
      <c r="N7" s="168">
        <f>'Data &amp; Assumptions'!N175</f>
        <v>7325.2005955777377</v>
      </c>
    </row>
    <row r="8" spans="1:14" x14ac:dyDescent="0.25">
      <c r="B8" t="s">
        <v>175</v>
      </c>
      <c r="E8" s="176">
        <f>BS!E41+BS!E50</f>
        <v>106222.91</v>
      </c>
      <c r="F8" s="176">
        <f>BS!F41+BS!F50</f>
        <v>121013.51999999999</v>
      </c>
      <c r="G8" s="176">
        <f>BS!G41+BS!G50</f>
        <v>148054.96</v>
      </c>
      <c r="H8" s="176">
        <f>BS!H41+BS!H50</f>
        <v>168079.53</v>
      </c>
      <c r="I8" s="176">
        <f>BS!I41+BS!I50</f>
        <v>198073.04</v>
      </c>
      <c r="J8" s="168">
        <f>J4-J5+J6+J7</f>
        <v>219753.86282306054</v>
      </c>
      <c r="K8" s="168">
        <f t="shared" ref="K8:N8" si="2">K4-K5+K6+K7</f>
        <v>236384.90156137504</v>
      </c>
      <c r="L8" s="168">
        <f t="shared" si="2"/>
        <v>249182.10424988545</v>
      </c>
      <c r="M8" s="168">
        <f t="shared" si="2"/>
        <v>258737.34461978229</v>
      </c>
      <c r="N8" s="168">
        <f t="shared" si="2"/>
        <v>266062.54521536001</v>
      </c>
    </row>
    <row r="9" spans="1:14" x14ac:dyDescent="0.25">
      <c r="B9" t="s">
        <v>176</v>
      </c>
      <c r="E9" s="176"/>
      <c r="F9" s="206">
        <f>AVERAGE(F4,F8)</f>
        <v>113618.215</v>
      </c>
      <c r="G9" s="206">
        <f t="shared" ref="G9:N9" si="3">AVERAGE(G4,G8)</f>
        <v>134534.24</v>
      </c>
      <c r="H9" s="206">
        <f t="shared" si="3"/>
        <v>158067.245</v>
      </c>
      <c r="I9" s="206">
        <f t="shared" si="3"/>
        <v>183076.285</v>
      </c>
      <c r="J9" s="233">
        <f t="shared" si="3"/>
        <v>208913.45141153026</v>
      </c>
      <c r="K9" s="233">
        <f t="shared" si="3"/>
        <v>228069.3821922178</v>
      </c>
      <c r="L9" s="233">
        <f t="shared" si="3"/>
        <v>242783.50290563024</v>
      </c>
      <c r="M9" s="233">
        <f t="shared" si="3"/>
        <v>253959.72443483386</v>
      </c>
      <c r="N9" s="233">
        <f t="shared" si="3"/>
        <v>262399.94491757115</v>
      </c>
    </row>
    <row r="10" spans="1:14" x14ac:dyDescent="0.25">
      <c r="B10" t="s">
        <v>177</v>
      </c>
      <c r="E10" s="141"/>
      <c r="F10" s="93">
        <v>6.7199999999999996E-2</v>
      </c>
      <c r="G10" s="93">
        <v>7.2499999999999995E-2</v>
      </c>
      <c r="H10" s="93">
        <v>7.8200000000000006E-2</v>
      </c>
      <c r="I10" s="93">
        <v>7.9000000000000001E-2</v>
      </c>
      <c r="J10" s="234">
        <v>7.4999999999999997E-2</v>
      </c>
      <c r="K10" s="128">
        <f>J10</f>
        <v>7.4999999999999997E-2</v>
      </c>
      <c r="L10" s="128">
        <f t="shared" ref="L10:N10" si="4">K10</f>
        <v>7.4999999999999997E-2</v>
      </c>
      <c r="M10" s="128">
        <f t="shared" si="4"/>
        <v>7.4999999999999997E-2</v>
      </c>
      <c r="N10" s="128">
        <f t="shared" si="4"/>
        <v>7.4999999999999997E-2</v>
      </c>
    </row>
    <row r="11" spans="1:14" x14ac:dyDescent="0.25">
      <c r="B11" t="s">
        <v>178</v>
      </c>
      <c r="E11" s="176"/>
      <c r="F11" s="176">
        <f t="shared" ref="F11:H11" si="5">F9*F10</f>
        <v>7635.1440479999992</v>
      </c>
      <c r="G11" s="176">
        <f t="shared" si="5"/>
        <v>9753.732399999999</v>
      </c>
      <c r="H11" s="176">
        <f t="shared" si="5"/>
        <v>12360.858559</v>
      </c>
      <c r="I11" s="176">
        <f>I9*I10</f>
        <v>14463.026515</v>
      </c>
      <c r="J11" s="168">
        <f t="shared" ref="J11:N11" si="6">J9*J10</f>
        <v>15668.508855864769</v>
      </c>
      <c r="K11" s="168">
        <f t="shared" si="6"/>
        <v>17105.203664416335</v>
      </c>
      <c r="L11" s="168">
        <f t="shared" si="6"/>
        <v>18208.762717922269</v>
      </c>
      <c r="M11" s="168">
        <f t="shared" si="6"/>
        <v>19046.97933261254</v>
      </c>
      <c r="N11" s="168">
        <f t="shared" si="6"/>
        <v>19679.995868817834</v>
      </c>
    </row>
    <row r="12" spans="1:14" x14ac:dyDescent="0.25">
      <c r="C12" s="6" t="s">
        <v>220</v>
      </c>
      <c r="E12" s="167">
        <v>184.43</v>
      </c>
      <c r="F12" s="167">
        <v>806.23</v>
      </c>
      <c r="G12" s="167">
        <v>579.51</v>
      </c>
      <c r="H12" s="167">
        <v>1243.69</v>
      </c>
      <c r="I12" s="167">
        <v>1800.7</v>
      </c>
      <c r="J12" s="168">
        <f>'Data &amp; Assumptions'!J188*'Asset Schedule'!J29</f>
        <v>1759.0201696291085</v>
      </c>
      <c r="K12" s="168">
        <f>'Data &amp; Assumptions'!K188*'Asset Schedule'!K29</f>
        <v>1803.0559991234491</v>
      </c>
      <c r="L12" s="168">
        <f>'Data &amp; Assumptions'!L188*'Asset Schedule'!L29</f>
        <v>1723.6900154938451</v>
      </c>
      <c r="M12" s="168">
        <f>'Data &amp; Assumptions'!M188*'Asset Schedule'!M29</f>
        <v>1401.0196170716599</v>
      </c>
      <c r="N12" s="168">
        <f>'Data &amp; Assumptions'!N188*'Asset Schedule'!N29</f>
        <v>793.3054943538682</v>
      </c>
    </row>
    <row r="13" spans="1:14" ht="16.5" thickBot="1" x14ac:dyDescent="0.3">
      <c r="B13" s="11" t="s">
        <v>221</v>
      </c>
      <c r="C13" s="219"/>
      <c r="D13" s="11"/>
      <c r="E13" s="220"/>
      <c r="F13" s="220">
        <f t="shared" ref="F13:I13" si="7">F11-F12</f>
        <v>6828.9140479999987</v>
      </c>
      <c r="G13" s="220">
        <f t="shared" si="7"/>
        <v>9174.2223999999987</v>
      </c>
      <c r="H13" s="220">
        <f t="shared" si="7"/>
        <v>11117.168559</v>
      </c>
      <c r="I13" s="220">
        <f t="shared" si="7"/>
        <v>12662.326514999999</v>
      </c>
      <c r="J13" s="235">
        <f t="shared" ref="J13:N13" si="8">J11-J12</f>
        <v>13909.488686235662</v>
      </c>
      <c r="K13" s="235">
        <f t="shared" si="8"/>
        <v>15302.147665292885</v>
      </c>
      <c r="L13" s="235">
        <f t="shared" si="8"/>
        <v>16485.072702428424</v>
      </c>
      <c r="M13" s="235">
        <f t="shared" si="8"/>
        <v>17645.959715540881</v>
      </c>
      <c r="N13" s="235">
        <f t="shared" si="8"/>
        <v>18886.690374463964</v>
      </c>
    </row>
    <row r="14" spans="1:14" ht="16.5" thickTop="1" x14ac:dyDescent="0.25">
      <c r="B14" s="1"/>
      <c r="C14" s="236"/>
      <c r="D14" s="1"/>
      <c r="E14" s="190"/>
      <c r="F14" s="190"/>
      <c r="G14" s="190"/>
      <c r="H14" s="190"/>
      <c r="I14" s="190"/>
      <c r="J14" s="237"/>
      <c r="K14" s="237"/>
      <c r="L14" s="237"/>
      <c r="M14" s="237"/>
      <c r="N14" s="237"/>
    </row>
    <row r="15" spans="1:14" x14ac:dyDescent="0.25">
      <c r="A15" s="1" t="s">
        <v>265</v>
      </c>
      <c r="E15" s="176"/>
      <c r="F15" s="176"/>
      <c r="G15" s="176"/>
      <c r="H15" s="176"/>
      <c r="I15" s="176"/>
      <c r="J15" s="176"/>
      <c r="K15" s="176"/>
      <c r="L15" s="176"/>
      <c r="M15" s="176"/>
      <c r="N15" s="176"/>
    </row>
    <row r="16" spans="1:14" x14ac:dyDescent="0.25">
      <c r="B16" t="s">
        <v>262</v>
      </c>
      <c r="E16" s="176">
        <f>BS!E41</f>
        <v>106023.33</v>
      </c>
      <c r="F16" s="176">
        <f>BS!F41</f>
        <v>120739.79</v>
      </c>
      <c r="G16" s="176">
        <f>BS!G41</f>
        <v>104206.84</v>
      </c>
      <c r="H16" s="176">
        <f>BS!H41</f>
        <v>130892.71</v>
      </c>
      <c r="I16" s="176">
        <f>BS!I41</f>
        <v>141196.64000000001</v>
      </c>
      <c r="J16" s="168">
        <f t="shared" ref="J16:N16" si="9">J8*J17</f>
        <v>153827.70397614237</v>
      </c>
      <c r="K16" s="168">
        <f t="shared" si="9"/>
        <v>165469.43109296251</v>
      </c>
      <c r="L16" s="168">
        <f t="shared" si="9"/>
        <v>174427.4729749198</v>
      </c>
      <c r="M16" s="168">
        <f t="shared" si="9"/>
        <v>181116.14123384759</v>
      </c>
      <c r="N16" s="168">
        <f t="shared" si="9"/>
        <v>186243.781650752</v>
      </c>
    </row>
    <row r="17" spans="1:14" x14ac:dyDescent="0.25">
      <c r="C17" s="6" t="s">
        <v>263</v>
      </c>
      <c r="E17" s="15">
        <f t="shared" ref="E17:I17" si="10">E16/E8</f>
        <v>0.99812112095215622</v>
      </c>
      <c r="F17" s="15">
        <f t="shared" si="10"/>
        <v>0.99773802133844225</v>
      </c>
      <c r="G17" s="15">
        <f t="shared" si="10"/>
        <v>0.703838898744088</v>
      </c>
      <c r="H17" s="15">
        <f t="shared" si="10"/>
        <v>0.77875461693639914</v>
      </c>
      <c r="I17" s="15">
        <f t="shared" si="10"/>
        <v>0.71285138048065511</v>
      </c>
      <c r="J17" s="139">
        <v>0.7</v>
      </c>
      <c r="K17" s="31">
        <f t="shared" ref="K17:N17" si="11">J17</f>
        <v>0.7</v>
      </c>
      <c r="L17" s="31">
        <f t="shared" si="11"/>
        <v>0.7</v>
      </c>
      <c r="M17" s="31">
        <f t="shared" si="11"/>
        <v>0.7</v>
      </c>
      <c r="N17" s="31">
        <f t="shared" si="11"/>
        <v>0.7</v>
      </c>
    </row>
    <row r="18" spans="1:14" x14ac:dyDescent="0.25">
      <c r="B18" t="s">
        <v>264</v>
      </c>
      <c r="E18" s="176">
        <f>BS!E50</f>
        <v>199.58</v>
      </c>
      <c r="F18" s="176">
        <f>BS!F50</f>
        <v>273.73</v>
      </c>
      <c r="G18" s="176">
        <f>BS!G50</f>
        <v>43848.12</v>
      </c>
      <c r="H18" s="176">
        <f>BS!H50</f>
        <v>37186.82</v>
      </c>
      <c r="I18" s="176">
        <f>BS!I50</f>
        <v>56876.4</v>
      </c>
      <c r="J18" s="168">
        <f t="shared" ref="J18:N18" si="12">J8*J19</f>
        <v>65926.158846918159</v>
      </c>
      <c r="K18" s="168">
        <f t="shared" si="12"/>
        <v>70915.470468412503</v>
      </c>
      <c r="L18" s="168">
        <f t="shared" si="12"/>
        <v>74754.631274965635</v>
      </c>
      <c r="M18" s="168">
        <f t="shared" si="12"/>
        <v>77621.203385934685</v>
      </c>
      <c r="N18" s="168">
        <f t="shared" si="12"/>
        <v>79818.763564608002</v>
      </c>
    </row>
    <row r="19" spans="1:14" x14ac:dyDescent="0.25">
      <c r="C19" s="6" t="s">
        <v>263</v>
      </c>
      <c r="E19" s="15">
        <f t="shared" ref="E19:I19" si="13">E18/E8</f>
        <v>1.878879047843822E-3</v>
      </c>
      <c r="F19" s="15">
        <f t="shared" si="13"/>
        <v>2.2619786615578163E-3</v>
      </c>
      <c r="G19" s="15">
        <f t="shared" si="13"/>
        <v>0.29616110125591205</v>
      </c>
      <c r="H19" s="15">
        <f t="shared" si="13"/>
        <v>0.22124538306360089</v>
      </c>
      <c r="I19" s="15">
        <f t="shared" si="13"/>
        <v>0.28714861951934501</v>
      </c>
      <c r="J19" s="139">
        <v>0.3</v>
      </c>
      <c r="K19" s="31">
        <f t="shared" ref="K19:N19" si="14">J19</f>
        <v>0.3</v>
      </c>
      <c r="L19" s="31">
        <f t="shared" si="14"/>
        <v>0.3</v>
      </c>
      <c r="M19" s="31">
        <f t="shared" si="14"/>
        <v>0.3</v>
      </c>
      <c r="N19" s="31">
        <f t="shared" si="14"/>
        <v>0.3</v>
      </c>
    </row>
    <row r="20" spans="1:14" x14ac:dyDescent="0.25">
      <c r="E20" s="176"/>
      <c r="F20" s="176"/>
      <c r="G20" s="176"/>
      <c r="H20" s="176"/>
      <c r="I20" s="176"/>
      <c r="J20" s="176"/>
      <c r="K20" s="176"/>
      <c r="L20" s="176"/>
      <c r="M20" s="176"/>
      <c r="N20" s="176"/>
    </row>
    <row r="21" spans="1:14" x14ac:dyDescent="0.25">
      <c r="A21" s="1" t="s">
        <v>267</v>
      </c>
      <c r="E21" s="176"/>
      <c r="F21" s="176"/>
      <c r="G21" s="176"/>
      <c r="H21" s="176"/>
      <c r="I21" s="176"/>
      <c r="J21" s="176"/>
      <c r="K21" s="176"/>
      <c r="L21" s="176"/>
      <c r="M21" s="176"/>
      <c r="N21" s="176"/>
    </row>
    <row r="22" spans="1:14" x14ac:dyDescent="0.25">
      <c r="B22" t="s">
        <v>271</v>
      </c>
      <c r="E22" s="176"/>
      <c r="F22" s="176">
        <f t="shared" ref="F22:N22" si="15">E26</f>
        <v>334.87</v>
      </c>
      <c r="G22" s="176">
        <f t="shared" si="15"/>
        <v>347.97999999999996</v>
      </c>
      <c r="H22" s="176">
        <f t="shared" si="15"/>
        <v>362.46999999999991</v>
      </c>
      <c r="I22" s="176">
        <f t="shared" si="15"/>
        <v>1512.9299999999998</v>
      </c>
      <c r="J22" s="168">
        <f t="shared" si="15"/>
        <v>1497.8899999999999</v>
      </c>
      <c r="K22" s="168">
        <f t="shared" si="15"/>
        <v>1457.5289999999998</v>
      </c>
      <c r="L22" s="168">
        <f t="shared" si="15"/>
        <v>1413.1318999999996</v>
      </c>
      <c r="M22" s="168">
        <f t="shared" si="15"/>
        <v>1364.2950899999996</v>
      </c>
      <c r="N22" s="168">
        <f t="shared" si="15"/>
        <v>1310.5745989999996</v>
      </c>
    </row>
    <row r="23" spans="1:14" x14ac:dyDescent="0.25">
      <c r="C23" t="s">
        <v>198</v>
      </c>
      <c r="E23" s="176"/>
      <c r="F23" s="167">
        <v>0</v>
      </c>
      <c r="G23" s="167">
        <v>0</v>
      </c>
      <c r="H23" s="167">
        <v>1056.04</v>
      </c>
      <c r="I23" s="167">
        <v>0</v>
      </c>
      <c r="J23" s="168">
        <f t="shared" ref="J23:N23" si="16">I23</f>
        <v>0</v>
      </c>
      <c r="K23" s="168">
        <f t="shared" si="16"/>
        <v>0</v>
      </c>
      <c r="L23" s="168">
        <f t="shared" si="16"/>
        <v>0</v>
      </c>
      <c r="M23" s="168">
        <f t="shared" si="16"/>
        <v>0</v>
      </c>
      <c r="N23" s="168">
        <f t="shared" si="16"/>
        <v>0</v>
      </c>
    </row>
    <row r="24" spans="1:14" x14ac:dyDescent="0.25">
      <c r="C24" t="s">
        <v>268</v>
      </c>
      <c r="D24" s="239">
        <v>0.1</v>
      </c>
      <c r="E24" s="176"/>
      <c r="F24" s="167">
        <v>33.770000000000003</v>
      </c>
      <c r="G24" s="167">
        <v>34.840000000000003</v>
      </c>
      <c r="H24" s="167">
        <v>114.77</v>
      </c>
      <c r="I24" s="167">
        <v>175.11</v>
      </c>
      <c r="J24" s="168">
        <f>J22*$D$24</f>
        <v>149.78899999999999</v>
      </c>
      <c r="K24" s="168">
        <f>K22*$D$24</f>
        <v>145.75289999999998</v>
      </c>
      <c r="L24" s="168">
        <f>L22*$D$24</f>
        <v>141.31318999999996</v>
      </c>
      <c r="M24" s="168">
        <f>M22*$D$24</f>
        <v>136.42950899999997</v>
      </c>
      <c r="N24" s="168">
        <f>N22*$D$24</f>
        <v>131.05745989999997</v>
      </c>
    </row>
    <row r="25" spans="1:14" x14ac:dyDescent="0.25">
      <c r="C25" t="s">
        <v>269</v>
      </c>
      <c r="E25" s="176"/>
      <c r="F25" s="167">
        <v>20.66</v>
      </c>
      <c r="G25" s="167">
        <v>20.350000000000001</v>
      </c>
      <c r="H25" s="264">
        <v>20.350000000000001</v>
      </c>
      <c r="I25" s="167">
        <v>190.15</v>
      </c>
      <c r="J25" s="168">
        <f t="shared" ref="J25:N25" si="17">I25</f>
        <v>190.15</v>
      </c>
      <c r="K25" s="168">
        <f t="shared" si="17"/>
        <v>190.15</v>
      </c>
      <c r="L25" s="168">
        <f t="shared" si="17"/>
        <v>190.15</v>
      </c>
      <c r="M25" s="168">
        <f t="shared" si="17"/>
        <v>190.15</v>
      </c>
      <c r="N25" s="168">
        <f t="shared" si="17"/>
        <v>190.15</v>
      </c>
    </row>
    <row r="26" spans="1:14" x14ac:dyDescent="0.25">
      <c r="B26" s="4" t="s">
        <v>270</v>
      </c>
      <c r="C26" s="4"/>
      <c r="D26" s="4"/>
      <c r="E26" s="238">
        <v>334.87</v>
      </c>
      <c r="F26" s="188">
        <f>F22+F23+F24-F25</f>
        <v>347.97999999999996</v>
      </c>
      <c r="G26" s="188">
        <f t="shared" ref="G26:N26" si="18">G22+G23+G24-G25</f>
        <v>362.46999999999991</v>
      </c>
      <c r="H26" s="188">
        <f t="shared" si="18"/>
        <v>1512.9299999999998</v>
      </c>
      <c r="I26" s="188">
        <f t="shared" si="18"/>
        <v>1497.8899999999999</v>
      </c>
      <c r="J26" s="189">
        <f t="shared" si="18"/>
        <v>1457.5289999999998</v>
      </c>
      <c r="K26" s="189">
        <f t="shared" si="18"/>
        <v>1413.1318999999996</v>
      </c>
      <c r="L26" s="189">
        <f t="shared" si="18"/>
        <v>1364.2950899999996</v>
      </c>
      <c r="M26" s="189">
        <f t="shared" si="18"/>
        <v>1310.5745989999996</v>
      </c>
      <c r="N26" s="189">
        <f t="shared" si="18"/>
        <v>1251.4820588999994</v>
      </c>
    </row>
    <row r="27" spans="1:14" x14ac:dyDescent="0.25">
      <c r="E27" s="176"/>
      <c r="F27" s="176"/>
      <c r="G27" s="176"/>
      <c r="H27" s="176"/>
      <c r="I27" s="176"/>
      <c r="J27" s="176"/>
      <c r="K27" s="176"/>
      <c r="L27" s="176"/>
      <c r="M27" s="176"/>
      <c r="N27" s="176"/>
    </row>
    <row r="28" spans="1:14" x14ac:dyDescent="0.25">
      <c r="B28" t="s">
        <v>272</v>
      </c>
      <c r="E28" s="176">
        <f>BS!E42</f>
        <v>314.52</v>
      </c>
      <c r="F28" s="176">
        <f>BS!F42</f>
        <v>347.98</v>
      </c>
      <c r="G28" s="176">
        <f>BS!G42</f>
        <v>362.47</v>
      </c>
      <c r="H28" s="176">
        <f>BS!H42</f>
        <v>1328.23</v>
      </c>
      <c r="I28" s="176">
        <f>BS!I42</f>
        <v>1435.27</v>
      </c>
      <c r="J28" s="168">
        <f t="shared" ref="J28:N28" si="19">J29*J26</f>
        <v>1396.5963106970471</v>
      </c>
      <c r="K28" s="168">
        <f t="shared" si="19"/>
        <v>1354.0552524637988</v>
      </c>
      <c r="L28" s="168">
        <f t="shared" si="19"/>
        <v>1307.2600884072258</v>
      </c>
      <c r="M28" s="168">
        <f t="shared" si="19"/>
        <v>1255.7854079449955</v>
      </c>
      <c r="N28" s="168">
        <f t="shared" si="19"/>
        <v>1199.1632594365421</v>
      </c>
    </row>
    <row r="29" spans="1:14" x14ac:dyDescent="0.25">
      <c r="C29" s="6" t="s">
        <v>273</v>
      </c>
      <c r="E29" s="15">
        <f t="shared" ref="E29:I29" si="20">E28/E26</f>
        <v>0.9392301490130498</v>
      </c>
      <c r="F29" s="15">
        <f t="shared" si="20"/>
        <v>1.0000000000000002</v>
      </c>
      <c r="G29" s="15">
        <f t="shared" si="20"/>
        <v>1.0000000000000002</v>
      </c>
      <c r="H29" s="15">
        <f t="shared" si="20"/>
        <v>0.87791900484490371</v>
      </c>
      <c r="I29" s="15">
        <f t="shared" si="20"/>
        <v>0.95819452696793495</v>
      </c>
      <c r="J29" s="31">
        <f>I29</f>
        <v>0.95819452696793495</v>
      </c>
      <c r="K29" s="31">
        <f t="shared" ref="K29:N29" si="21">J29</f>
        <v>0.95819452696793495</v>
      </c>
      <c r="L29" s="31">
        <f t="shared" si="21"/>
        <v>0.95819452696793495</v>
      </c>
      <c r="M29" s="31">
        <f t="shared" si="21"/>
        <v>0.95819452696793495</v>
      </c>
      <c r="N29" s="31">
        <f t="shared" si="21"/>
        <v>0.95819452696793495</v>
      </c>
    </row>
    <row r="30" spans="1:14" x14ac:dyDescent="0.25">
      <c r="B30" t="s">
        <v>274</v>
      </c>
      <c r="E30" s="176">
        <f>BS!E51</f>
        <v>20.350000000000001</v>
      </c>
      <c r="F30" s="176">
        <f>BS!F51</f>
        <v>0</v>
      </c>
      <c r="G30" s="176">
        <f>BS!G51</f>
        <v>0</v>
      </c>
      <c r="H30" s="176">
        <f>BS!H51</f>
        <v>184.7</v>
      </c>
      <c r="I30" s="176">
        <f>BS!I51</f>
        <v>62.62</v>
      </c>
      <c r="J30" s="168">
        <f t="shared" ref="J30:N30" si="22">J31*J26</f>
        <v>60.932689302952816</v>
      </c>
      <c r="K30" s="168">
        <f t="shared" si="22"/>
        <v>59.076647536200916</v>
      </c>
      <c r="L30" s="168">
        <f t="shared" si="22"/>
        <v>57.035001592773824</v>
      </c>
      <c r="M30" s="168">
        <f t="shared" si="22"/>
        <v>54.789191055004025</v>
      </c>
      <c r="N30" s="168">
        <f t="shared" si="22"/>
        <v>52.318799463457246</v>
      </c>
    </row>
    <row r="31" spans="1:14" x14ac:dyDescent="0.25">
      <c r="C31" s="6" t="s">
        <v>273</v>
      </c>
      <c r="E31" s="15">
        <f t="shared" ref="E31:I31" si="23">E30/E26</f>
        <v>6.0769850986950161E-2</v>
      </c>
      <c r="F31" s="15">
        <f t="shared" si="23"/>
        <v>0</v>
      </c>
      <c r="G31" s="15">
        <f t="shared" si="23"/>
        <v>0</v>
      </c>
      <c r="H31" s="15">
        <f t="shared" si="23"/>
        <v>0.12208099515509641</v>
      </c>
      <c r="I31" s="15">
        <f t="shared" si="23"/>
        <v>4.180547303206511E-2</v>
      </c>
      <c r="J31" s="31">
        <f>I31</f>
        <v>4.180547303206511E-2</v>
      </c>
      <c r="K31" s="31">
        <f t="shared" ref="K31:N31" si="24">J31</f>
        <v>4.180547303206511E-2</v>
      </c>
      <c r="L31" s="31">
        <f t="shared" si="24"/>
        <v>4.180547303206511E-2</v>
      </c>
      <c r="M31" s="31">
        <f t="shared" si="24"/>
        <v>4.180547303206511E-2</v>
      </c>
      <c r="N31" s="31">
        <f t="shared" si="24"/>
        <v>4.180547303206511E-2</v>
      </c>
    </row>
    <row r="32" spans="1:14" x14ac:dyDescent="0.25">
      <c r="E32" s="176"/>
      <c r="F32" s="176"/>
      <c r="G32" s="176"/>
      <c r="H32" s="176"/>
      <c r="I32" s="176"/>
      <c r="J32" s="176"/>
      <c r="K32" s="176"/>
      <c r="L32" s="176"/>
      <c r="M32" s="176"/>
      <c r="N32" s="176"/>
    </row>
    <row r="33" spans="1:16" x14ac:dyDescent="0.25">
      <c r="A33" s="1" t="s">
        <v>356</v>
      </c>
      <c r="E33" s="176"/>
      <c r="F33" s="176"/>
      <c r="G33" s="176"/>
      <c r="H33" s="176"/>
      <c r="I33" s="176"/>
      <c r="J33" s="176"/>
      <c r="K33" s="176"/>
      <c r="L33" s="176"/>
      <c r="M33" s="176"/>
      <c r="N33" s="176"/>
    </row>
    <row r="34" spans="1:16" x14ac:dyDescent="0.25">
      <c r="B34" t="s">
        <v>358</v>
      </c>
      <c r="E34" s="167">
        <v>57783.76</v>
      </c>
      <c r="F34" s="176">
        <f t="shared" ref="F34:N34" si="25">E47</f>
        <v>106557.78</v>
      </c>
      <c r="G34" s="176">
        <f t="shared" si="25"/>
        <v>121361.5</v>
      </c>
      <c r="H34" s="176">
        <f t="shared" si="25"/>
        <v>148417.42999999996</v>
      </c>
      <c r="I34" s="176">
        <f t="shared" si="25"/>
        <v>169592.45999999996</v>
      </c>
      <c r="J34" s="168">
        <f t="shared" si="25"/>
        <v>199570.93000000002</v>
      </c>
      <c r="K34" s="168">
        <f t="shared" si="25"/>
        <v>222820.62299268966</v>
      </c>
      <c r="L34" s="168">
        <f t="shared" si="25"/>
        <v>241064.56773012757</v>
      </c>
      <c r="M34" s="168">
        <f t="shared" si="25"/>
        <v>255395.31043413182</v>
      </c>
      <c r="N34" s="168">
        <f t="shared" si="25"/>
        <v>266161.4204211004</v>
      </c>
    </row>
    <row r="35" spans="1:16" x14ac:dyDescent="0.25">
      <c r="B35" s="94" t="s">
        <v>357</v>
      </c>
      <c r="E35" s="15"/>
      <c r="F35" s="15"/>
      <c r="G35" s="15"/>
      <c r="H35" s="15"/>
      <c r="I35" s="15"/>
      <c r="J35" s="176"/>
      <c r="K35" s="176"/>
      <c r="L35" s="176"/>
      <c r="M35" s="176"/>
      <c r="N35" s="176"/>
    </row>
    <row r="36" spans="1:16" x14ac:dyDescent="0.25">
      <c r="C36" t="s">
        <v>359</v>
      </c>
      <c r="E36" s="176">
        <f>CF!E51</f>
        <v>44303.5</v>
      </c>
      <c r="F36" s="176">
        <f>CF!F51</f>
        <v>64036.800000000003</v>
      </c>
      <c r="G36" s="176">
        <f>CF!G51</f>
        <v>41686.269999999997</v>
      </c>
      <c r="H36" s="176">
        <f>CF!H51</f>
        <v>89066.31</v>
      </c>
      <c r="I36" s="176">
        <f>CF!I51</f>
        <v>97383.96</v>
      </c>
      <c r="J36" s="168">
        <f t="shared" ref="J36:N36" si="26">J6+J7</f>
        <v>78343.822823060531</v>
      </c>
      <c r="K36" s="168">
        <f t="shared" si="26"/>
        <v>58645.038738314499</v>
      </c>
      <c r="L36" s="168">
        <f t="shared" si="26"/>
        <v>40829.202688510406</v>
      </c>
      <c r="M36" s="168">
        <f t="shared" si="26"/>
        <v>21192.240369896848</v>
      </c>
      <c r="N36" s="168">
        <f t="shared" si="26"/>
        <v>20859.200595577739</v>
      </c>
    </row>
    <row r="37" spans="1:16" x14ac:dyDescent="0.25">
      <c r="C37" t="s">
        <v>328</v>
      </c>
      <c r="E37" s="176">
        <f>CF!E50</f>
        <v>-40451.82</v>
      </c>
      <c r="F37" s="176">
        <f>CF!F50</f>
        <v>-51770.13</v>
      </c>
      <c r="G37" s="176">
        <f>CF!G50</f>
        <v>-20247.13</v>
      </c>
      <c r="H37" s="176">
        <f>CF!H50</f>
        <v>-69419.62</v>
      </c>
      <c r="I37" s="176">
        <f>CF!I50</f>
        <v>-80040.149999999994</v>
      </c>
      <c r="J37" s="168">
        <f t="shared" ref="J37:N37" si="27">-J5</f>
        <v>-56663</v>
      </c>
      <c r="K37" s="168">
        <f t="shared" si="27"/>
        <v>-42014</v>
      </c>
      <c r="L37" s="168">
        <f t="shared" si="27"/>
        <v>-28032</v>
      </c>
      <c r="M37" s="168">
        <f t="shared" si="27"/>
        <v>-11637</v>
      </c>
      <c r="N37" s="168">
        <f t="shared" si="27"/>
        <v>-13534</v>
      </c>
    </row>
    <row r="38" spans="1:16" x14ac:dyDescent="0.25">
      <c r="C38" t="s">
        <v>327</v>
      </c>
      <c r="E38" s="176">
        <f>CF!E49</f>
        <v>-3698.75</v>
      </c>
      <c r="F38" s="176">
        <f>CF!F49</f>
        <v>-6420.61</v>
      </c>
      <c r="G38" s="176">
        <f>CF!G49</f>
        <v>-9862.11</v>
      </c>
      <c r="H38" s="176">
        <f>CF!H49</f>
        <v>-11200.31</v>
      </c>
      <c r="I38" s="176">
        <f>CF!I49</f>
        <v>-13702.65</v>
      </c>
      <c r="J38" s="168">
        <f t="shared" ref="J38:N38" si="28">-J13</f>
        <v>-13909.488686235662</v>
      </c>
      <c r="K38" s="168">
        <f t="shared" si="28"/>
        <v>-15302.147665292885</v>
      </c>
      <c r="L38" s="168">
        <f t="shared" si="28"/>
        <v>-16485.072702428424</v>
      </c>
      <c r="M38" s="168">
        <f t="shared" si="28"/>
        <v>-17645.959715540881</v>
      </c>
      <c r="N38" s="168">
        <f t="shared" si="28"/>
        <v>-18886.690374463964</v>
      </c>
    </row>
    <row r="39" spans="1:16" x14ac:dyDescent="0.25">
      <c r="C39" t="s">
        <v>360</v>
      </c>
      <c r="E39" s="167">
        <f>-28.07</f>
        <v>-28.07</v>
      </c>
      <c r="F39" s="176">
        <f t="shared" ref="F39:I39" si="29">-F25</f>
        <v>-20.66</v>
      </c>
      <c r="G39" s="176">
        <f t="shared" si="29"/>
        <v>-20.350000000000001</v>
      </c>
      <c r="H39" s="167">
        <f>-28.04</f>
        <v>-28.04</v>
      </c>
      <c r="I39" s="176">
        <f t="shared" si="29"/>
        <v>-190.15</v>
      </c>
      <c r="J39" s="168">
        <f t="shared" ref="J39:N39" si="30">-J25</f>
        <v>-190.15</v>
      </c>
      <c r="K39" s="168">
        <f t="shared" si="30"/>
        <v>-190.15</v>
      </c>
      <c r="L39" s="168">
        <f t="shared" si="30"/>
        <v>-190.15</v>
      </c>
      <c r="M39" s="168">
        <f t="shared" si="30"/>
        <v>-190.15</v>
      </c>
      <c r="N39" s="168">
        <f t="shared" si="30"/>
        <v>-190.15</v>
      </c>
    </row>
    <row r="40" spans="1:16" x14ac:dyDescent="0.25">
      <c r="C40" t="s">
        <v>367</v>
      </c>
      <c r="E40" s="167">
        <v>42140.75</v>
      </c>
      <c r="F40" s="167">
        <v>0</v>
      </c>
      <c r="G40" s="167">
        <v>0</v>
      </c>
      <c r="H40" s="167">
        <v>0</v>
      </c>
      <c r="I40" s="167">
        <v>11893.42</v>
      </c>
      <c r="J40" s="168">
        <v>0</v>
      </c>
      <c r="K40" s="168">
        <f t="shared" ref="K40:N40" si="31">J40</f>
        <v>0</v>
      </c>
      <c r="L40" s="168">
        <f t="shared" si="31"/>
        <v>0</v>
      </c>
      <c r="M40" s="168">
        <f t="shared" si="31"/>
        <v>0</v>
      </c>
      <c r="N40" s="168">
        <f t="shared" si="31"/>
        <v>0</v>
      </c>
    </row>
    <row r="41" spans="1:16" x14ac:dyDescent="0.25">
      <c r="B41" s="94" t="s">
        <v>361</v>
      </c>
      <c r="E41" s="176"/>
      <c r="F41" s="176"/>
      <c r="G41" s="176"/>
      <c r="H41" s="176"/>
      <c r="I41" s="176"/>
      <c r="J41" s="176"/>
      <c r="K41" s="176"/>
      <c r="L41" s="176"/>
      <c r="M41" s="176"/>
      <c r="N41" s="176"/>
    </row>
    <row r="42" spans="1:16" x14ac:dyDescent="0.25">
      <c r="C42" t="s">
        <v>363</v>
      </c>
      <c r="E42" s="167">
        <v>6509.04</v>
      </c>
      <c r="F42" s="167">
        <v>8978.32</v>
      </c>
      <c r="G42" s="167">
        <v>9896.9500000000007</v>
      </c>
      <c r="H42" s="167">
        <v>11747.69</v>
      </c>
      <c r="I42" s="167">
        <v>14657.38</v>
      </c>
      <c r="J42" s="168">
        <f t="shared" ref="J42:N42" si="32">J11</f>
        <v>15668.508855864769</v>
      </c>
      <c r="K42" s="168">
        <f t="shared" si="32"/>
        <v>17105.203664416335</v>
      </c>
      <c r="L42" s="168">
        <f t="shared" si="32"/>
        <v>18208.762717922269</v>
      </c>
      <c r="M42" s="168">
        <f t="shared" si="32"/>
        <v>19046.97933261254</v>
      </c>
      <c r="N42" s="168">
        <f t="shared" si="32"/>
        <v>19679.995868817834</v>
      </c>
    </row>
    <row r="43" spans="1:16" x14ac:dyDescent="0.25">
      <c r="C43" t="s">
        <v>368</v>
      </c>
      <c r="E43" s="167">
        <v>0</v>
      </c>
      <c r="F43" s="167">
        <v>0</v>
      </c>
      <c r="G43" s="167">
        <v>5602.3</v>
      </c>
      <c r="H43" s="167">
        <v>0</v>
      </c>
      <c r="I43" s="167">
        <v>0</v>
      </c>
      <c r="J43" s="168">
        <f t="shared" ref="J43:N43" si="33">I43</f>
        <v>0</v>
      </c>
      <c r="K43" s="168">
        <f t="shared" si="33"/>
        <v>0</v>
      </c>
      <c r="L43" s="168">
        <f t="shared" si="33"/>
        <v>0</v>
      </c>
      <c r="M43" s="168">
        <f t="shared" si="33"/>
        <v>0</v>
      </c>
      <c r="N43" s="168">
        <f t="shared" si="33"/>
        <v>0</v>
      </c>
    </row>
    <row r="44" spans="1:16" x14ac:dyDescent="0.25">
      <c r="C44" t="s">
        <v>364</v>
      </c>
      <c r="E44" s="167">
        <v>0</v>
      </c>
      <c r="F44" s="167">
        <v>0</v>
      </c>
      <c r="G44" s="167">
        <v>0</v>
      </c>
      <c r="H44" s="167">
        <v>1063</v>
      </c>
      <c r="I44" s="167">
        <v>0</v>
      </c>
      <c r="J44" s="168">
        <f t="shared" ref="J44:N44" si="34">I44</f>
        <v>0</v>
      </c>
      <c r="K44" s="168">
        <f t="shared" si="34"/>
        <v>0</v>
      </c>
      <c r="L44" s="168">
        <f t="shared" si="34"/>
        <v>0</v>
      </c>
      <c r="M44" s="168">
        <f t="shared" si="34"/>
        <v>0</v>
      </c>
      <c r="N44" s="168">
        <f t="shared" si="34"/>
        <v>0</v>
      </c>
    </row>
    <row r="45" spans="1:16" x14ac:dyDescent="0.25">
      <c r="C45" t="s">
        <v>365</v>
      </c>
      <c r="E45" s="167">
        <v>0</v>
      </c>
      <c r="F45" s="167">
        <v>0</v>
      </c>
      <c r="G45" s="167">
        <v>0</v>
      </c>
      <c r="H45" s="167">
        <v>0</v>
      </c>
      <c r="I45" s="167">
        <f>-23.34</f>
        <v>-23.34</v>
      </c>
      <c r="J45" s="168">
        <v>0</v>
      </c>
      <c r="K45" s="168">
        <f t="shared" ref="K45:N45" si="35">J45</f>
        <v>0</v>
      </c>
      <c r="L45" s="168">
        <f t="shared" si="35"/>
        <v>0</v>
      </c>
      <c r="M45" s="168">
        <f t="shared" si="35"/>
        <v>0</v>
      </c>
      <c r="N45" s="168">
        <f t="shared" si="35"/>
        <v>0</v>
      </c>
    </row>
    <row r="46" spans="1:16" x14ac:dyDescent="0.25">
      <c r="C46" t="s">
        <v>343</v>
      </c>
      <c r="E46" s="167">
        <v>0</v>
      </c>
      <c r="F46" s="167">
        <v>0</v>
      </c>
      <c r="G46" s="167">
        <v>0</v>
      </c>
      <c r="H46" s="167">
        <f>-54</f>
        <v>-54</v>
      </c>
      <c r="I46" s="167">
        <v>0</v>
      </c>
      <c r="J46" s="168">
        <f t="shared" ref="J46:N46" si="36">I46</f>
        <v>0</v>
      </c>
      <c r="K46" s="168">
        <f t="shared" si="36"/>
        <v>0</v>
      </c>
      <c r="L46" s="168">
        <f t="shared" si="36"/>
        <v>0</v>
      </c>
      <c r="M46" s="168">
        <f t="shared" si="36"/>
        <v>0</v>
      </c>
      <c r="N46" s="168">
        <f t="shared" si="36"/>
        <v>0</v>
      </c>
    </row>
    <row r="47" spans="1:16" x14ac:dyDescent="0.25">
      <c r="B47" s="4" t="s">
        <v>366</v>
      </c>
      <c r="C47" s="4"/>
      <c r="D47" s="4"/>
      <c r="E47" s="238">
        <v>106557.78</v>
      </c>
      <c r="F47" s="188">
        <f>SUM(F34:F46)</f>
        <v>121361.5</v>
      </c>
      <c r="G47" s="188">
        <f>SUM(G34:G46)</f>
        <v>148417.42999999996</v>
      </c>
      <c r="H47" s="188">
        <f>SUM(H34:H46)</f>
        <v>169592.45999999996</v>
      </c>
      <c r="I47" s="188">
        <f t="shared" ref="I47:N47" si="37">SUM(I34:I46)</f>
        <v>199570.93000000002</v>
      </c>
      <c r="J47" s="189">
        <f t="shared" si="37"/>
        <v>222820.62299268966</v>
      </c>
      <c r="K47" s="189">
        <f t="shared" si="37"/>
        <v>241064.56773012757</v>
      </c>
      <c r="L47" s="189">
        <f t="shared" si="37"/>
        <v>255395.31043413182</v>
      </c>
      <c r="M47" s="189">
        <f t="shared" si="37"/>
        <v>266161.4204211004</v>
      </c>
      <c r="N47" s="189">
        <f t="shared" si="37"/>
        <v>274089.77651103196</v>
      </c>
      <c r="P47" t="s">
        <v>369</v>
      </c>
    </row>
    <row r="48" spans="1:16" x14ac:dyDescent="0.25">
      <c r="C48" t="s">
        <v>370</v>
      </c>
      <c r="E48" s="176">
        <f>BS!E51</f>
        <v>20.350000000000001</v>
      </c>
      <c r="F48" s="176">
        <f>BS!F51</f>
        <v>0</v>
      </c>
      <c r="G48" s="176">
        <f>BS!G51</f>
        <v>0</v>
      </c>
      <c r="H48" s="176">
        <f>BS!H51</f>
        <v>184.7</v>
      </c>
      <c r="I48" s="176">
        <f>BS!I51</f>
        <v>62.62</v>
      </c>
      <c r="J48" s="168">
        <f>BS!J51</f>
        <v>60.932689302952816</v>
      </c>
      <c r="K48" s="168">
        <f>BS!K51</f>
        <v>59.076647536200916</v>
      </c>
      <c r="L48" s="168">
        <f>BS!L51</f>
        <v>57.035001592773824</v>
      </c>
      <c r="M48" s="168">
        <f>BS!M51</f>
        <v>54.789191055004025</v>
      </c>
      <c r="N48" s="168">
        <f>BS!N51</f>
        <v>52.318799463457246</v>
      </c>
    </row>
    <row r="49" spans="2:14" x14ac:dyDescent="0.25">
      <c r="C49" t="s">
        <v>371</v>
      </c>
      <c r="E49" s="176">
        <f>BS!E42</f>
        <v>314.52</v>
      </c>
      <c r="F49" s="176">
        <f>BS!F42</f>
        <v>347.98</v>
      </c>
      <c r="G49" s="176">
        <f>BS!G42</f>
        <v>362.47</v>
      </c>
      <c r="H49" s="176">
        <f>BS!H42</f>
        <v>1328.23</v>
      </c>
      <c r="I49" s="176">
        <f>BS!I42</f>
        <v>1435.27</v>
      </c>
      <c r="J49" s="168">
        <f>BS!J42</f>
        <v>1396.5963106970471</v>
      </c>
      <c r="K49" s="168">
        <f>BS!K42</f>
        <v>1354.0552524637988</v>
      </c>
      <c r="L49" s="168">
        <f>BS!L42</f>
        <v>1307.2600884072258</v>
      </c>
      <c r="M49" s="168">
        <f>BS!M42</f>
        <v>1255.7854079449955</v>
      </c>
      <c r="N49" s="168">
        <f>BS!N42</f>
        <v>1199.1632594365421</v>
      </c>
    </row>
    <row r="50" spans="2:14" x14ac:dyDescent="0.25">
      <c r="B50" t="s">
        <v>372</v>
      </c>
      <c r="E50" s="176">
        <f t="shared" ref="E50:I50" si="38">E47-E48-E49</f>
        <v>106222.90999999999</v>
      </c>
      <c r="F50" s="176">
        <f t="shared" si="38"/>
        <v>121013.52</v>
      </c>
      <c r="G50" s="176">
        <f t="shared" si="38"/>
        <v>148054.95999999996</v>
      </c>
      <c r="H50" s="176">
        <f t="shared" si="38"/>
        <v>168079.52999999994</v>
      </c>
      <c r="I50" s="176">
        <f t="shared" si="38"/>
        <v>198073.04000000004</v>
      </c>
      <c r="J50" s="168">
        <f t="shared" ref="J50" si="39">J47-J48-J49</f>
        <v>221363.09399268965</v>
      </c>
      <c r="K50" s="168">
        <f t="shared" ref="K50" si="40">K47-K48-K49</f>
        <v>239651.43583012759</v>
      </c>
      <c r="L50" s="168">
        <f t="shared" ref="L50" si="41">L47-L48-L49</f>
        <v>254031.01534413183</v>
      </c>
      <c r="M50" s="168">
        <f t="shared" ref="M50" si="42">M47-M48-M49</f>
        <v>264850.84582210041</v>
      </c>
      <c r="N50" s="168">
        <f t="shared" ref="N50" si="43">N47-N48-N49</f>
        <v>272838.29445213196</v>
      </c>
    </row>
    <row r="51" spans="2:14" x14ac:dyDescent="0.25">
      <c r="E51" s="176"/>
      <c r="F51" s="176"/>
      <c r="G51" s="176"/>
      <c r="H51" s="176"/>
      <c r="I51" s="176"/>
      <c r="J51" s="176"/>
      <c r="K51" s="176"/>
      <c r="L51" s="176"/>
      <c r="M51" s="176"/>
      <c r="N51" s="176"/>
    </row>
    <row r="52" spans="2:14" x14ac:dyDescent="0.25">
      <c r="E52" s="176"/>
      <c r="F52" s="176"/>
      <c r="G52" s="176"/>
      <c r="H52" s="176"/>
      <c r="I52" s="176"/>
      <c r="J52" s="176"/>
      <c r="K52" s="176"/>
      <c r="L52" s="176"/>
      <c r="M52" s="176"/>
      <c r="N52" s="176"/>
    </row>
    <row r="53" spans="2:14" x14ac:dyDescent="0.25">
      <c r="E53" s="176"/>
      <c r="F53" s="176"/>
      <c r="G53" s="176"/>
      <c r="H53" s="176"/>
      <c r="I53" s="176"/>
      <c r="J53" s="176"/>
      <c r="K53" s="176"/>
      <c r="L53" s="176"/>
      <c r="M53" s="176"/>
      <c r="N53" s="176"/>
    </row>
    <row r="54" spans="2:14" x14ac:dyDescent="0.25">
      <c r="E54" s="176"/>
      <c r="F54" s="176"/>
      <c r="G54" s="176"/>
      <c r="H54" s="176"/>
      <c r="I54" s="176"/>
      <c r="J54" s="176"/>
      <c r="K54" s="176"/>
      <c r="L54" s="176"/>
      <c r="M54" s="176"/>
      <c r="N54" s="176"/>
    </row>
    <row r="55" spans="2:14" x14ac:dyDescent="0.25">
      <c r="E55" s="176"/>
      <c r="F55" s="176"/>
      <c r="G55" s="176"/>
      <c r="H55" s="176"/>
      <c r="I55" s="176"/>
      <c r="J55" s="176"/>
      <c r="K55" s="176"/>
      <c r="L55" s="176"/>
      <c r="M55" s="176"/>
      <c r="N55" s="176"/>
    </row>
    <row r="56" spans="2:14" x14ac:dyDescent="0.25">
      <c r="E56" s="176"/>
      <c r="F56" s="176"/>
      <c r="G56" s="176"/>
      <c r="H56" s="176"/>
      <c r="I56" s="176"/>
      <c r="J56" s="176"/>
      <c r="K56" s="176"/>
      <c r="L56" s="176"/>
      <c r="M56" s="176"/>
      <c r="N56" s="176"/>
    </row>
    <row r="57" spans="2:14" x14ac:dyDescent="0.25">
      <c r="E57" s="176"/>
      <c r="F57" s="176"/>
      <c r="G57" s="176"/>
      <c r="H57" s="176"/>
      <c r="I57" s="176"/>
      <c r="J57" s="176"/>
      <c r="K57" s="176"/>
      <c r="L57" s="176"/>
      <c r="M57" s="176"/>
      <c r="N57" s="176"/>
    </row>
    <row r="58" spans="2:14" x14ac:dyDescent="0.25">
      <c r="E58" s="176"/>
      <c r="F58" s="176"/>
      <c r="G58" s="176"/>
      <c r="H58" s="176"/>
      <c r="I58" s="176"/>
      <c r="J58" s="176"/>
      <c r="K58" s="176"/>
      <c r="L58" s="176"/>
      <c r="M58" s="176"/>
      <c r="N58" s="176"/>
    </row>
    <row r="59" spans="2:14" x14ac:dyDescent="0.25">
      <c r="E59" s="176"/>
      <c r="F59" s="176"/>
      <c r="G59" s="176"/>
      <c r="H59" s="176"/>
      <c r="I59" s="176"/>
      <c r="J59" s="176"/>
      <c r="K59" s="176"/>
      <c r="L59" s="176"/>
      <c r="M59" s="176"/>
      <c r="N59" s="176"/>
    </row>
    <row r="60" spans="2:14" x14ac:dyDescent="0.25">
      <c r="E60" s="176"/>
      <c r="F60" s="176"/>
      <c r="G60" s="176"/>
      <c r="H60" s="176"/>
      <c r="I60" s="176"/>
      <c r="J60" s="176"/>
      <c r="K60" s="176"/>
      <c r="L60" s="176"/>
      <c r="M60" s="176"/>
      <c r="N60" s="176"/>
    </row>
    <row r="61" spans="2:14" x14ac:dyDescent="0.25">
      <c r="E61" s="176"/>
      <c r="F61" s="176"/>
      <c r="G61" s="176"/>
      <c r="H61" s="176"/>
      <c r="I61" s="176"/>
      <c r="J61" s="176"/>
      <c r="K61" s="176"/>
      <c r="L61" s="176"/>
      <c r="M61" s="176"/>
      <c r="N61" s="176"/>
    </row>
    <row r="62" spans="2:14" x14ac:dyDescent="0.25">
      <c r="E62" s="176"/>
      <c r="F62" s="176"/>
      <c r="G62" s="176"/>
      <c r="H62" s="176"/>
      <c r="I62" s="176"/>
      <c r="J62" s="176"/>
      <c r="K62" s="176"/>
      <c r="L62" s="176"/>
      <c r="M62" s="176"/>
      <c r="N62" s="176"/>
    </row>
    <row r="63" spans="2:14" x14ac:dyDescent="0.25">
      <c r="E63" s="176"/>
      <c r="F63" s="176"/>
      <c r="G63" s="176"/>
      <c r="H63" s="176"/>
      <c r="I63" s="176"/>
      <c r="J63" s="176"/>
      <c r="K63" s="176"/>
      <c r="L63" s="176"/>
      <c r="M63" s="176"/>
      <c r="N63" s="176"/>
    </row>
    <row r="64" spans="2:14" x14ac:dyDescent="0.25">
      <c r="E64" s="176"/>
      <c r="F64" s="176"/>
      <c r="G64" s="176"/>
      <c r="H64" s="176"/>
      <c r="I64" s="176"/>
      <c r="J64" s="176"/>
      <c r="K64" s="176"/>
      <c r="L64" s="176"/>
      <c r="M64" s="176"/>
      <c r="N64" s="176"/>
    </row>
    <row r="65" spans="5:14" x14ac:dyDescent="0.25">
      <c r="E65" s="176"/>
      <c r="F65" s="176"/>
      <c r="G65" s="176"/>
      <c r="H65" s="176"/>
      <c r="I65" s="176"/>
      <c r="J65" s="176"/>
      <c r="K65" s="176"/>
      <c r="L65" s="176"/>
      <c r="M65" s="176"/>
      <c r="N65" s="176"/>
    </row>
    <row r="66" spans="5:14" x14ac:dyDescent="0.25">
      <c r="E66" s="176"/>
      <c r="F66" s="176"/>
      <c r="G66" s="176"/>
      <c r="H66" s="176"/>
      <c r="I66" s="176"/>
      <c r="J66" s="176"/>
      <c r="K66" s="176"/>
      <c r="L66" s="176"/>
      <c r="M66" s="176"/>
      <c r="N66" s="176"/>
    </row>
    <row r="67" spans="5:14" x14ac:dyDescent="0.25">
      <c r="E67" s="176"/>
      <c r="F67" s="176"/>
      <c r="G67" s="176"/>
      <c r="H67" s="176"/>
      <c r="I67" s="176"/>
      <c r="J67" s="176"/>
      <c r="K67" s="176"/>
      <c r="L67" s="176"/>
      <c r="M67" s="176"/>
      <c r="N67" s="176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3AA7-1E6F-40FE-A56A-AAA672647DB0}">
  <dimension ref="A1:N104"/>
  <sheetViews>
    <sheetView showGridLines="0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5.75" x14ac:dyDescent="0.25"/>
  <cols>
    <col min="1" max="2" width="3.75" customWidth="1"/>
    <col min="3" max="3" width="31.75" customWidth="1"/>
    <col min="4" max="4" width="9" customWidth="1"/>
    <col min="5" max="11" width="9.75" bestFit="1" customWidth="1"/>
    <col min="12" max="14" width="11.25" bestFit="1" customWidth="1"/>
  </cols>
  <sheetData>
    <row r="1" spans="1:14" x14ac:dyDescent="0.25">
      <c r="A1" s="96" t="s">
        <v>25</v>
      </c>
      <c r="B1" s="97"/>
      <c r="C1" s="97"/>
      <c r="D1" s="97"/>
      <c r="E1" s="98" t="s">
        <v>15</v>
      </c>
      <c r="F1" s="99"/>
      <c r="G1" s="99"/>
      <c r="H1" s="99"/>
      <c r="I1" s="99"/>
      <c r="J1" s="100" t="s">
        <v>16</v>
      </c>
      <c r="K1" s="101"/>
      <c r="L1" s="101"/>
      <c r="M1" s="101"/>
      <c r="N1" s="101"/>
    </row>
    <row r="2" spans="1:14" x14ac:dyDescent="0.25">
      <c r="A2" s="97"/>
      <c r="B2" s="97"/>
      <c r="C2" s="97"/>
      <c r="D2" s="97"/>
      <c r="E2" s="102">
        <v>2021</v>
      </c>
      <c r="F2" s="102">
        <v>2022</v>
      </c>
      <c r="G2" s="102">
        <v>2023</v>
      </c>
      <c r="H2" s="102">
        <v>2024</v>
      </c>
      <c r="I2" s="102">
        <v>2025</v>
      </c>
      <c r="J2" s="103">
        <v>2026</v>
      </c>
      <c r="K2" s="103">
        <v>2027</v>
      </c>
      <c r="L2" s="103">
        <v>2028</v>
      </c>
      <c r="M2" s="103">
        <v>2029</v>
      </c>
      <c r="N2" s="103">
        <v>2030</v>
      </c>
    </row>
    <row r="4" spans="1:14" x14ac:dyDescent="0.25">
      <c r="A4" s="1" t="s">
        <v>292</v>
      </c>
      <c r="B4" s="1"/>
      <c r="C4" s="1"/>
      <c r="D4" s="243"/>
      <c r="E4" s="222">
        <v>819.6</v>
      </c>
      <c r="F4" s="222">
        <f>947893743/10^6</f>
        <v>947.89374299999997</v>
      </c>
      <c r="G4" s="222">
        <f t="shared" ref="G4:I4" si="0">947893743/10^6</f>
        <v>947.89374299999997</v>
      </c>
      <c r="H4" s="222">
        <f t="shared" si="0"/>
        <v>947.89374299999997</v>
      </c>
      <c r="I4" s="222">
        <f t="shared" si="0"/>
        <v>947.89374299999997</v>
      </c>
      <c r="J4" s="240">
        <f t="shared" ref="J4:N4" si="1">I4</f>
        <v>947.89374299999997</v>
      </c>
      <c r="K4" s="240">
        <f t="shared" si="1"/>
        <v>947.89374299999997</v>
      </c>
      <c r="L4" s="240">
        <f t="shared" si="1"/>
        <v>947.89374299999997</v>
      </c>
      <c r="M4" s="240">
        <f t="shared" si="1"/>
        <v>947.89374299999997</v>
      </c>
      <c r="N4" s="240">
        <f t="shared" si="1"/>
        <v>947.89374299999997</v>
      </c>
    </row>
    <row r="5" spans="1:14" x14ac:dyDescent="0.25">
      <c r="B5" t="s">
        <v>293</v>
      </c>
      <c r="D5" s="221"/>
      <c r="E5" s="222">
        <v>18364</v>
      </c>
      <c r="F5" s="222">
        <v>20626</v>
      </c>
      <c r="G5" s="222">
        <v>20579</v>
      </c>
      <c r="H5" s="222">
        <v>20219</v>
      </c>
      <c r="I5" s="222">
        <v>21811</v>
      </c>
      <c r="J5" s="240">
        <f>'NOI &amp; NDCF'!J33</f>
        <v>23769.547563197364</v>
      </c>
      <c r="K5" s="240">
        <f>'NOI &amp; NDCF'!K33</f>
        <v>24489.895632748659</v>
      </c>
      <c r="L5" s="240">
        <f>'NOI &amp; NDCF'!L33</f>
        <v>35610.105239607634</v>
      </c>
      <c r="M5" s="240">
        <f>'NOI &amp; NDCF'!M33</f>
        <v>35076.696444224086</v>
      </c>
      <c r="N5" s="240">
        <f>'NOI &amp; NDCF'!N33</f>
        <v>39295.424823495137</v>
      </c>
    </row>
    <row r="6" spans="1:14" x14ac:dyDescent="0.25">
      <c r="B6" t="s">
        <v>296</v>
      </c>
      <c r="D6" s="221"/>
      <c r="E6" s="221">
        <f t="shared" ref="E6:N6" si="2">E5/E4</f>
        <v>22.406051732552463</v>
      </c>
      <c r="F6" s="221">
        <f t="shared" si="2"/>
        <v>21.759822925637774</v>
      </c>
      <c r="G6" s="221">
        <f t="shared" si="2"/>
        <v>21.710239308964404</v>
      </c>
      <c r="H6" s="221">
        <f t="shared" si="2"/>
        <v>21.330449904657723</v>
      </c>
      <c r="I6" s="221">
        <f t="shared" si="2"/>
        <v>23.009963048147267</v>
      </c>
      <c r="J6" s="240">
        <f t="shared" si="2"/>
        <v>25.076173082405678</v>
      </c>
      <c r="K6" s="240">
        <f t="shared" si="2"/>
        <v>25.836119094151105</v>
      </c>
      <c r="L6" s="240">
        <f t="shared" si="2"/>
        <v>37.567612934024439</v>
      </c>
      <c r="M6" s="240">
        <f t="shared" si="2"/>
        <v>37.004882354439268</v>
      </c>
      <c r="N6" s="240">
        <f t="shared" si="2"/>
        <v>41.455516626925494</v>
      </c>
    </row>
    <row r="7" spans="1:14" x14ac:dyDescent="0.25"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</row>
    <row r="8" spans="1:14" x14ac:dyDescent="0.25">
      <c r="A8" s="1" t="s">
        <v>288</v>
      </c>
      <c r="D8" s="221"/>
      <c r="E8" s="222">
        <f>-5943.12</f>
        <v>-5943.12</v>
      </c>
      <c r="F8" s="221">
        <f t="shared" ref="F8:N8" si="3">E14</f>
        <v>-17331.439999999999</v>
      </c>
      <c r="G8" s="221">
        <f t="shared" si="3"/>
        <v>-29395.21</v>
      </c>
      <c r="H8" s="221">
        <f t="shared" si="3"/>
        <v>-44579.12999999999</v>
      </c>
      <c r="I8" s="221">
        <f t="shared" si="3"/>
        <v>-55520.359999999993</v>
      </c>
      <c r="J8" s="240">
        <f t="shared" si="3"/>
        <v>-60650.509999999995</v>
      </c>
      <c r="K8" s="240">
        <f t="shared" ca="1" si="3"/>
        <v>-74336.620561730117</v>
      </c>
      <c r="L8" s="240">
        <f t="shared" ca="1" si="3"/>
        <v>-85355.741780483891</v>
      </c>
      <c r="M8" s="240">
        <f t="shared" ca="1" si="3"/>
        <v>-99495.236931682186</v>
      </c>
      <c r="N8" s="240">
        <f t="shared" ca="1" si="3"/>
        <v>-107260.63660225028</v>
      </c>
    </row>
    <row r="9" spans="1:14" x14ac:dyDescent="0.25">
      <c r="B9" t="s">
        <v>14</v>
      </c>
      <c r="D9" s="221"/>
      <c r="E9" s="221">
        <f>'P&amp;L'!E35</f>
        <v>6983.5300000000052</v>
      </c>
      <c r="F9" s="221">
        <f>'P&amp;L'!F35</f>
        <v>8883.8499999999985</v>
      </c>
      <c r="G9" s="221">
        <f>'P&amp;L'!G35</f>
        <v>5059.5800000000081</v>
      </c>
      <c r="H9" s="221">
        <f>'P&amp;L'!H35</f>
        <v>9640.279999999997</v>
      </c>
      <c r="I9" s="221">
        <f>'P&amp;L'!I35</f>
        <v>16244.359999999999</v>
      </c>
      <c r="J9" s="240">
        <f ca="1">'P&amp;L'!J35</f>
        <v>10083.437001467237</v>
      </c>
      <c r="K9" s="240">
        <f ca="1">'P&amp;L'!K35</f>
        <v>13470.774413994888</v>
      </c>
      <c r="L9" s="240">
        <f ca="1">'P&amp;L'!L35</f>
        <v>21470.610088409318</v>
      </c>
      <c r="M9" s="240">
        <f ca="1">'P&amp;L'!M35</f>
        <v>27311.296773656024</v>
      </c>
      <c r="N9" s="240">
        <f ca="1">'P&amp;L'!N35</f>
        <v>31359.124156806018</v>
      </c>
    </row>
    <row r="10" spans="1:14" x14ac:dyDescent="0.25">
      <c r="B10" t="s">
        <v>290</v>
      </c>
      <c r="D10" s="221"/>
      <c r="E10" s="221">
        <f>'P&amp;L'!E38+'P&amp;L'!E39</f>
        <v>0.81</v>
      </c>
      <c r="F10" s="221">
        <f>'P&amp;L'!F38+'P&amp;L'!F39</f>
        <v>0.83</v>
      </c>
      <c r="G10" s="221">
        <f>'P&amp;L'!G38+'P&amp;L'!G39</f>
        <v>3.51</v>
      </c>
      <c r="H10" s="221">
        <f>'P&amp;L'!H38+'P&amp;L'!H39</f>
        <v>6.74</v>
      </c>
      <c r="I10" s="221">
        <f>'P&amp;L'!I38+'P&amp;L'!I39</f>
        <v>0.49</v>
      </c>
      <c r="J10" s="240">
        <f>'P&amp;L'!J38+'P&amp;L'!J39</f>
        <v>0</v>
      </c>
      <c r="K10" s="240">
        <f>'P&amp;L'!K38+'P&amp;L'!K39</f>
        <v>0</v>
      </c>
      <c r="L10" s="240">
        <f>'P&amp;L'!L38+'P&amp;L'!L39</f>
        <v>0</v>
      </c>
      <c r="M10" s="240">
        <f>'P&amp;L'!M38+'P&amp;L'!M39</f>
        <v>0</v>
      </c>
      <c r="N10" s="240">
        <f>'P&amp;L'!N38+'P&amp;L'!N39</f>
        <v>0</v>
      </c>
    </row>
    <row r="11" spans="1:14" x14ac:dyDescent="0.25">
      <c r="B11" t="s">
        <v>289</v>
      </c>
      <c r="D11" s="221"/>
      <c r="E11" s="222">
        <f>-18372.66</f>
        <v>-18372.66</v>
      </c>
      <c r="F11" s="222">
        <f>-20948.45</f>
        <v>-20948.45</v>
      </c>
      <c r="G11" s="222">
        <f>-20247.01</f>
        <v>-20247.009999999998</v>
      </c>
      <c r="H11" s="222">
        <f>-20588.25</f>
        <v>-20588.25</v>
      </c>
      <c r="I11" s="222">
        <f>-21375</f>
        <v>-21375</v>
      </c>
      <c r="J11" s="240">
        <f>-J5</f>
        <v>-23769.547563197364</v>
      </c>
      <c r="K11" s="240">
        <f>-K5</f>
        <v>-24489.895632748659</v>
      </c>
      <c r="L11" s="240">
        <f>-L5</f>
        <v>-35610.105239607634</v>
      </c>
      <c r="M11" s="240">
        <f>-M5</f>
        <v>-35076.696444224086</v>
      </c>
      <c r="N11" s="240">
        <f>-N5</f>
        <v>-39295.424823495137</v>
      </c>
    </row>
    <row r="12" spans="1:14" x14ac:dyDescent="0.25">
      <c r="B12" t="s">
        <v>294</v>
      </c>
      <c r="D12" s="221"/>
      <c r="E12" s="222">
        <v>0</v>
      </c>
      <c r="F12" s="222">
        <v>0</v>
      </c>
      <c r="G12" s="222">
        <f>-244.2</f>
        <v>-244.2</v>
      </c>
      <c r="H12" s="222">
        <f>-1275.8</f>
        <v>-1275.8</v>
      </c>
      <c r="I12" s="222">
        <v>0</v>
      </c>
      <c r="J12" s="240">
        <f t="shared" ref="J12:N13" si="4">I12</f>
        <v>0</v>
      </c>
      <c r="K12" s="240">
        <f t="shared" si="4"/>
        <v>0</v>
      </c>
      <c r="L12" s="240">
        <f t="shared" si="4"/>
        <v>0</v>
      </c>
      <c r="M12" s="240">
        <f t="shared" si="4"/>
        <v>0</v>
      </c>
      <c r="N12" s="240">
        <f t="shared" si="4"/>
        <v>0</v>
      </c>
    </row>
    <row r="13" spans="1:14" x14ac:dyDescent="0.25">
      <c r="B13" t="s">
        <v>295</v>
      </c>
      <c r="D13" s="221"/>
      <c r="E13" s="222">
        <v>0</v>
      </c>
      <c r="F13" s="222">
        <v>0</v>
      </c>
      <c r="G13" s="222">
        <v>244.2</v>
      </c>
      <c r="H13" s="222">
        <v>1275.8</v>
      </c>
      <c r="I13" s="222">
        <v>0</v>
      </c>
      <c r="J13" s="240">
        <f t="shared" si="4"/>
        <v>0</v>
      </c>
      <c r="K13" s="240">
        <f t="shared" si="4"/>
        <v>0</v>
      </c>
      <c r="L13" s="240">
        <f t="shared" si="4"/>
        <v>0</v>
      </c>
      <c r="M13" s="240">
        <f t="shared" si="4"/>
        <v>0</v>
      </c>
      <c r="N13" s="240">
        <f t="shared" si="4"/>
        <v>0</v>
      </c>
    </row>
    <row r="14" spans="1:14" ht="16.5" thickBot="1" x14ac:dyDescent="0.3">
      <c r="A14" s="11" t="s">
        <v>291</v>
      </c>
      <c r="B14" s="11"/>
      <c r="C14" s="11"/>
      <c r="D14" s="247"/>
      <c r="E14" s="247">
        <f>-17331.44</f>
        <v>-17331.439999999999</v>
      </c>
      <c r="F14" s="247">
        <f t="shared" ref="F14:N14" si="5">SUM(F8:F13)</f>
        <v>-29395.21</v>
      </c>
      <c r="G14" s="247">
        <f t="shared" si="5"/>
        <v>-44579.12999999999</v>
      </c>
      <c r="H14" s="247">
        <f t="shared" si="5"/>
        <v>-55520.359999999993</v>
      </c>
      <c r="I14" s="247">
        <f t="shared" si="5"/>
        <v>-60650.509999999995</v>
      </c>
      <c r="J14" s="249">
        <f t="shared" ca="1" si="5"/>
        <v>-74336.620561730117</v>
      </c>
      <c r="K14" s="249">
        <f t="shared" ca="1" si="5"/>
        <v>-85355.741780483891</v>
      </c>
      <c r="L14" s="249">
        <f t="shared" ca="1" si="5"/>
        <v>-99495.236931682215</v>
      </c>
      <c r="M14" s="249">
        <f t="shared" ca="1" si="5"/>
        <v>-107260.63660225025</v>
      </c>
      <c r="N14" s="249">
        <f t="shared" ca="1" si="5"/>
        <v>-115196.93726893939</v>
      </c>
    </row>
    <row r="15" spans="1:14" ht="16.5" thickTop="1" x14ac:dyDescent="0.25">
      <c r="E15" s="221"/>
      <c r="F15" s="221"/>
      <c r="G15" s="221"/>
      <c r="H15" s="221"/>
      <c r="I15" s="221"/>
      <c r="J15" s="221"/>
      <c r="K15" s="221"/>
      <c r="L15" s="221"/>
      <c r="M15" s="221"/>
      <c r="N15" s="221"/>
    </row>
    <row r="16" spans="1:14" x14ac:dyDescent="0.25">
      <c r="E16" s="221"/>
      <c r="F16" s="221"/>
      <c r="G16" s="221"/>
      <c r="H16" s="221"/>
      <c r="I16" s="221"/>
      <c r="J16" s="221"/>
      <c r="K16" s="221"/>
      <c r="L16" s="221"/>
      <c r="M16" s="221"/>
      <c r="N16" s="221"/>
    </row>
    <row r="17" spans="5:14" x14ac:dyDescent="0.25">
      <c r="E17" s="221"/>
      <c r="F17" s="221"/>
      <c r="G17" s="221"/>
      <c r="H17" s="221"/>
      <c r="I17" s="221"/>
      <c r="J17" s="221"/>
      <c r="K17" s="221"/>
      <c r="L17" s="221"/>
      <c r="M17" s="221"/>
      <c r="N17" s="221"/>
    </row>
    <row r="18" spans="5:14" x14ac:dyDescent="0.25">
      <c r="E18" s="221"/>
      <c r="F18" s="221"/>
      <c r="G18" s="221"/>
      <c r="H18" s="221"/>
      <c r="I18" s="221"/>
      <c r="J18" s="221"/>
      <c r="K18" s="221"/>
      <c r="L18" s="221"/>
      <c r="M18" s="221"/>
      <c r="N18" s="221"/>
    </row>
    <row r="19" spans="5:14" x14ac:dyDescent="0.25">
      <c r="E19" s="221"/>
      <c r="F19" s="221"/>
      <c r="G19" s="221"/>
      <c r="H19" s="221"/>
      <c r="I19" s="221"/>
      <c r="J19" s="221"/>
      <c r="K19" s="221"/>
      <c r="L19" s="221"/>
      <c r="M19" s="221"/>
      <c r="N19" s="221"/>
    </row>
    <row r="20" spans="5:14" x14ac:dyDescent="0.25">
      <c r="E20" s="221"/>
      <c r="F20" s="221"/>
      <c r="G20" s="221"/>
      <c r="H20" s="221"/>
      <c r="I20" s="221"/>
      <c r="J20" s="221"/>
      <c r="K20" s="221"/>
      <c r="L20" s="221"/>
      <c r="M20" s="221"/>
      <c r="N20" s="221"/>
    </row>
    <row r="21" spans="5:14" x14ac:dyDescent="0.25">
      <c r="E21" s="221"/>
      <c r="F21" s="221"/>
      <c r="G21" s="221"/>
      <c r="H21" s="221"/>
      <c r="I21" s="221"/>
      <c r="J21" s="221"/>
      <c r="K21" s="221"/>
      <c r="L21" s="221"/>
      <c r="M21" s="221"/>
      <c r="N21" s="221"/>
    </row>
    <row r="22" spans="5:14" x14ac:dyDescent="0.25">
      <c r="E22" s="221"/>
      <c r="F22" s="221"/>
      <c r="G22" s="221"/>
      <c r="H22" s="221"/>
      <c r="I22" s="221"/>
      <c r="J22" s="221"/>
      <c r="K22" s="221"/>
      <c r="L22" s="221"/>
      <c r="M22" s="221"/>
      <c r="N22" s="221"/>
    </row>
    <row r="23" spans="5:14" x14ac:dyDescent="0.25">
      <c r="E23" s="221"/>
      <c r="F23" s="221"/>
      <c r="G23" s="221"/>
      <c r="H23" s="221"/>
      <c r="I23" s="221"/>
      <c r="J23" s="221"/>
      <c r="K23" s="221"/>
      <c r="L23" s="221"/>
      <c r="M23" s="221"/>
      <c r="N23" s="221"/>
    </row>
    <row r="24" spans="5:14" x14ac:dyDescent="0.25">
      <c r="E24" s="221"/>
      <c r="F24" s="221"/>
      <c r="G24" s="221"/>
      <c r="H24" s="221"/>
      <c r="I24" s="221"/>
      <c r="J24" s="221"/>
      <c r="K24" s="221"/>
      <c r="L24" s="221"/>
      <c r="M24" s="221"/>
      <c r="N24" s="221"/>
    </row>
    <row r="25" spans="5:14" x14ac:dyDescent="0.25">
      <c r="E25" s="221"/>
      <c r="F25" s="221"/>
      <c r="G25" s="221"/>
      <c r="H25" s="221"/>
      <c r="I25" s="221"/>
      <c r="J25" s="221"/>
      <c r="K25" s="221"/>
      <c r="L25" s="221"/>
      <c r="M25" s="221"/>
      <c r="N25" s="221"/>
    </row>
    <row r="26" spans="5:14" x14ac:dyDescent="0.25">
      <c r="E26" s="221"/>
      <c r="F26" s="221"/>
      <c r="G26" s="221"/>
      <c r="H26" s="221"/>
      <c r="I26" s="221"/>
      <c r="J26" s="221"/>
      <c r="K26" s="221"/>
      <c r="L26" s="221"/>
      <c r="M26" s="221"/>
      <c r="N26" s="221"/>
    </row>
    <row r="27" spans="5:14" x14ac:dyDescent="0.25">
      <c r="E27" s="221"/>
      <c r="F27" s="221"/>
      <c r="G27" s="221"/>
      <c r="H27" s="221"/>
      <c r="I27" s="221"/>
      <c r="J27" s="221"/>
      <c r="K27" s="221"/>
      <c r="L27" s="221"/>
      <c r="M27" s="221"/>
      <c r="N27" s="221"/>
    </row>
    <row r="28" spans="5:14" x14ac:dyDescent="0.25">
      <c r="E28" s="221"/>
      <c r="F28" s="221"/>
      <c r="G28" s="221"/>
      <c r="H28" s="221"/>
      <c r="I28" s="221"/>
      <c r="J28" s="221"/>
      <c r="K28" s="221"/>
      <c r="L28" s="221"/>
      <c r="M28" s="221"/>
      <c r="N28" s="221"/>
    </row>
    <row r="29" spans="5:14" x14ac:dyDescent="0.25">
      <c r="E29" s="221"/>
      <c r="F29" s="221"/>
      <c r="G29" s="221"/>
      <c r="H29" s="221"/>
      <c r="I29" s="221"/>
      <c r="J29" s="221"/>
      <c r="K29" s="221"/>
      <c r="L29" s="221"/>
      <c r="M29" s="221"/>
      <c r="N29" s="221"/>
    </row>
    <row r="30" spans="5:14" x14ac:dyDescent="0.25">
      <c r="E30" s="221"/>
      <c r="F30" s="221"/>
      <c r="G30" s="221"/>
      <c r="H30" s="221"/>
      <c r="I30" s="221"/>
      <c r="J30" s="221"/>
      <c r="K30" s="221"/>
      <c r="L30" s="221"/>
      <c r="M30" s="221"/>
      <c r="N30" s="221"/>
    </row>
    <row r="31" spans="5:14" x14ac:dyDescent="0.25">
      <c r="E31" s="221"/>
      <c r="F31" s="221"/>
      <c r="G31" s="221"/>
      <c r="H31" s="221"/>
      <c r="I31" s="221"/>
      <c r="J31" s="221"/>
      <c r="K31" s="221"/>
      <c r="L31" s="221"/>
      <c r="M31" s="221"/>
      <c r="N31" s="221"/>
    </row>
    <row r="32" spans="5:14" x14ac:dyDescent="0.25">
      <c r="E32" s="221"/>
      <c r="F32" s="221"/>
      <c r="G32" s="221"/>
      <c r="H32" s="221"/>
      <c r="I32" s="221"/>
      <c r="J32" s="221"/>
      <c r="K32" s="221"/>
      <c r="L32" s="221"/>
      <c r="M32" s="221"/>
      <c r="N32" s="221"/>
    </row>
    <row r="33" spans="5:14" x14ac:dyDescent="0.25">
      <c r="E33" s="221"/>
      <c r="F33" s="221"/>
      <c r="G33" s="221"/>
      <c r="H33" s="221"/>
      <c r="I33" s="221"/>
      <c r="J33" s="221"/>
      <c r="K33" s="221"/>
      <c r="L33" s="221"/>
      <c r="M33" s="221"/>
      <c r="N33" s="221"/>
    </row>
    <row r="34" spans="5:14" x14ac:dyDescent="0.25">
      <c r="E34" s="221"/>
      <c r="F34" s="221"/>
      <c r="G34" s="221"/>
      <c r="H34" s="221"/>
      <c r="I34" s="221"/>
      <c r="J34" s="221"/>
      <c r="K34" s="221"/>
      <c r="L34" s="221"/>
      <c r="M34" s="221"/>
      <c r="N34" s="221"/>
    </row>
    <row r="35" spans="5:14" x14ac:dyDescent="0.25">
      <c r="E35" s="221"/>
      <c r="F35" s="221"/>
      <c r="G35" s="221"/>
      <c r="H35" s="221"/>
      <c r="I35" s="221"/>
      <c r="J35" s="221"/>
      <c r="K35" s="221"/>
      <c r="L35" s="221"/>
      <c r="M35" s="221"/>
      <c r="N35" s="221"/>
    </row>
    <row r="36" spans="5:14" x14ac:dyDescent="0.25">
      <c r="E36" s="221"/>
      <c r="F36" s="221"/>
      <c r="G36" s="221"/>
      <c r="H36" s="221"/>
      <c r="I36" s="221"/>
      <c r="J36" s="221"/>
      <c r="K36" s="221"/>
      <c r="L36" s="221"/>
      <c r="M36" s="221"/>
      <c r="N36" s="221"/>
    </row>
    <row r="37" spans="5:14" x14ac:dyDescent="0.25">
      <c r="E37" s="221"/>
      <c r="F37" s="221"/>
      <c r="G37" s="221"/>
      <c r="H37" s="221"/>
      <c r="I37" s="221"/>
      <c r="J37" s="221"/>
      <c r="K37" s="221"/>
      <c r="L37" s="221"/>
      <c r="M37" s="221"/>
      <c r="N37" s="221"/>
    </row>
    <row r="38" spans="5:14" x14ac:dyDescent="0.25">
      <c r="E38" s="221"/>
      <c r="F38" s="221"/>
      <c r="G38" s="221"/>
      <c r="H38" s="221"/>
      <c r="I38" s="221"/>
      <c r="J38" s="221"/>
      <c r="K38" s="221"/>
      <c r="L38" s="221"/>
      <c r="M38" s="221"/>
      <c r="N38" s="221"/>
    </row>
    <row r="39" spans="5:14" x14ac:dyDescent="0.25">
      <c r="E39" s="221"/>
      <c r="F39" s="221"/>
      <c r="G39" s="221"/>
      <c r="H39" s="221"/>
      <c r="I39" s="221"/>
      <c r="J39" s="221"/>
      <c r="K39" s="221"/>
      <c r="L39" s="221"/>
      <c r="M39" s="221"/>
      <c r="N39" s="221"/>
    </row>
    <row r="40" spans="5:14" x14ac:dyDescent="0.25">
      <c r="E40" s="221"/>
      <c r="F40" s="221"/>
      <c r="G40" s="221"/>
      <c r="H40" s="221"/>
      <c r="I40" s="221"/>
      <c r="J40" s="221"/>
      <c r="K40" s="221"/>
      <c r="L40" s="221"/>
      <c r="M40" s="221"/>
      <c r="N40" s="221"/>
    </row>
    <row r="41" spans="5:14" x14ac:dyDescent="0.25">
      <c r="E41" s="221"/>
      <c r="F41" s="221"/>
      <c r="G41" s="221"/>
      <c r="H41" s="221"/>
      <c r="I41" s="221"/>
      <c r="J41" s="221"/>
      <c r="K41" s="221"/>
      <c r="L41" s="221"/>
      <c r="M41" s="221"/>
      <c r="N41" s="221"/>
    </row>
    <row r="42" spans="5:14" x14ac:dyDescent="0.25">
      <c r="E42" s="221"/>
      <c r="F42" s="221"/>
      <c r="G42" s="221"/>
      <c r="H42" s="221"/>
      <c r="I42" s="221"/>
      <c r="J42" s="221"/>
      <c r="K42" s="221"/>
      <c r="L42" s="221"/>
      <c r="M42" s="221"/>
      <c r="N42" s="221"/>
    </row>
    <row r="43" spans="5:14" x14ac:dyDescent="0.25">
      <c r="E43" s="221"/>
      <c r="F43" s="221"/>
      <c r="G43" s="221"/>
      <c r="H43" s="221"/>
      <c r="I43" s="221"/>
      <c r="J43" s="221"/>
      <c r="K43" s="221"/>
      <c r="L43" s="221"/>
      <c r="M43" s="221"/>
      <c r="N43" s="221"/>
    </row>
    <row r="44" spans="5:14" x14ac:dyDescent="0.25">
      <c r="E44" s="221"/>
      <c r="F44" s="221"/>
      <c r="G44" s="221"/>
      <c r="H44" s="221"/>
      <c r="I44" s="221"/>
      <c r="J44" s="221"/>
      <c r="K44" s="221"/>
      <c r="L44" s="221"/>
      <c r="M44" s="221"/>
      <c r="N44" s="221"/>
    </row>
    <row r="45" spans="5:14" x14ac:dyDescent="0.25">
      <c r="E45" s="221"/>
      <c r="F45" s="221"/>
      <c r="G45" s="221"/>
      <c r="H45" s="221"/>
      <c r="I45" s="221"/>
      <c r="J45" s="221"/>
      <c r="K45" s="221"/>
      <c r="L45" s="221"/>
      <c r="M45" s="221"/>
      <c r="N45" s="221"/>
    </row>
    <row r="46" spans="5:14" x14ac:dyDescent="0.25">
      <c r="E46" s="221"/>
      <c r="F46" s="221"/>
      <c r="G46" s="221"/>
      <c r="H46" s="221"/>
      <c r="I46" s="221"/>
      <c r="J46" s="221"/>
      <c r="K46" s="221"/>
      <c r="L46" s="221"/>
      <c r="M46" s="221"/>
      <c r="N46" s="221"/>
    </row>
    <row r="47" spans="5:14" x14ac:dyDescent="0.25">
      <c r="E47" s="221"/>
      <c r="F47" s="221"/>
      <c r="G47" s="221"/>
      <c r="H47" s="221"/>
      <c r="I47" s="221"/>
      <c r="J47" s="221"/>
      <c r="K47" s="221"/>
      <c r="L47" s="221"/>
      <c r="M47" s="221"/>
      <c r="N47" s="221"/>
    </row>
    <row r="48" spans="5:14" x14ac:dyDescent="0.25">
      <c r="E48" s="221"/>
      <c r="F48" s="221"/>
      <c r="G48" s="221"/>
      <c r="H48" s="221"/>
      <c r="I48" s="221"/>
      <c r="J48" s="221"/>
      <c r="K48" s="221"/>
      <c r="L48" s="221"/>
      <c r="M48" s="221"/>
      <c r="N48" s="221"/>
    </row>
    <row r="49" spans="5:14" x14ac:dyDescent="0.25">
      <c r="E49" s="221"/>
      <c r="F49" s="221"/>
      <c r="G49" s="221"/>
      <c r="H49" s="221"/>
      <c r="I49" s="221"/>
      <c r="J49" s="221"/>
      <c r="K49" s="221"/>
      <c r="L49" s="221"/>
      <c r="M49" s="221"/>
      <c r="N49" s="221"/>
    </row>
    <row r="50" spans="5:14" x14ac:dyDescent="0.25">
      <c r="E50" s="221"/>
      <c r="F50" s="221"/>
      <c r="G50" s="221"/>
      <c r="H50" s="221"/>
      <c r="I50" s="221"/>
      <c r="J50" s="221"/>
      <c r="K50" s="221"/>
      <c r="L50" s="221"/>
      <c r="M50" s="221"/>
      <c r="N50" s="221"/>
    </row>
    <row r="51" spans="5:14" x14ac:dyDescent="0.25">
      <c r="E51" s="221"/>
      <c r="F51" s="221"/>
      <c r="G51" s="221"/>
      <c r="H51" s="221"/>
      <c r="I51" s="221"/>
      <c r="J51" s="221"/>
      <c r="K51" s="221"/>
      <c r="L51" s="221"/>
      <c r="M51" s="221"/>
      <c r="N51" s="221"/>
    </row>
    <row r="52" spans="5:14" x14ac:dyDescent="0.25">
      <c r="E52" s="221"/>
      <c r="F52" s="221"/>
      <c r="G52" s="221"/>
      <c r="H52" s="221"/>
      <c r="I52" s="221"/>
      <c r="J52" s="221"/>
      <c r="K52" s="221"/>
      <c r="L52" s="221"/>
      <c r="M52" s="221"/>
      <c r="N52" s="221"/>
    </row>
    <row r="53" spans="5:14" x14ac:dyDescent="0.25">
      <c r="E53" s="221"/>
      <c r="F53" s="221"/>
      <c r="G53" s="221"/>
      <c r="H53" s="221"/>
      <c r="I53" s="221"/>
      <c r="J53" s="221"/>
      <c r="K53" s="221"/>
      <c r="L53" s="221"/>
      <c r="M53" s="221"/>
      <c r="N53" s="221"/>
    </row>
    <row r="54" spans="5:14" x14ac:dyDescent="0.25">
      <c r="E54" s="221"/>
      <c r="F54" s="221"/>
      <c r="G54" s="221"/>
      <c r="H54" s="221"/>
      <c r="I54" s="221"/>
      <c r="J54" s="221"/>
      <c r="K54" s="221"/>
      <c r="L54" s="221"/>
      <c r="M54" s="221"/>
      <c r="N54" s="221"/>
    </row>
    <row r="55" spans="5:14" x14ac:dyDescent="0.25">
      <c r="E55" s="221"/>
      <c r="F55" s="221"/>
      <c r="G55" s="221"/>
      <c r="H55" s="221"/>
      <c r="I55" s="221"/>
      <c r="J55" s="221"/>
      <c r="K55" s="221"/>
      <c r="L55" s="221"/>
      <c r="M55" s="221"/>
      <c r="N55" s="221"/>
    </row>
    <row r="56" spans="5:14" x14ac:dyDescent="0.25">
      <c r="E56" s="221"/>
      <c r="F56" s="221"/>
      <c r="G56" s="221"/>
      <c r="H56" s="221"/>
      <c r="I56" s="221"/>
      <c r="J56" s="221"/>
      <c r="K56" s="221"/>
      <c r="L56" s="221"/>
      <c r="M56" s="221"/>
      <c r="N56" s="221"/>
    </row>
    <row r="57" spans="5:14" x14ac:dyDescent="0.25">
      <c r="E57" s="221"/>
      <c r="F57" s="221"/>
      <c r="G57" s="221"/>
      <c r="H57" s="221"/>
      <c r="I57" s="221"/>
      <c r="J57" s="221"/>
      <c r="K57" s="221"/>
      <c r="L57" s="221"/>
      <c r="M57" s="221"/>
      <c r="N57" s="221"/>
    </row>
    <row r="58" spans="5:14" x14ac:dyDescent="0.25">
      <c r="E58" s="221"/>
      <c r="F58" s="221"/>
      <c r="G58" s="221"/>
      <c r="H58" s="221"/>
      <c r="I58" s="221"/>
      <c r="J58" s="221"/>
      <c r="K58" s="221"/>
      <c r="L58" s="221"/>
      <c r="M58" s="221"/>
      <c r="N58" s="221"/>
    </row>
    <row r="59" spans="5:14" x14ac:dyDescent="0.25">
      <c r="E59" s="221"/>
      <c r="F59" s="221"/>
      <c r="G59" s="221"/>
      <c r="H59" s="221"/>
      <c r="I59" s="221"/>
      <c r="J59" s="221"/>
      <c r="K59" s="221"/>
      <c r="L59" s="221"/>
      <c r="M59" s="221"/>
      <c r="N59" s="221"/>
    </row>
    <row r="60" spans="5:14" x14ac:dyDescent="0.25">
      <c r="E60" s="221"/>
      <c r="F60" s="221"/>
      <c r="G60" s="221"/>
      <c r="H60" s="221"/>
      <c r="I60" s="221"/>
      <c r="J60" s="221"/>
      <c r="K60" s="221"/>
      <c r="L60" s="221"/>
      <c r="M60" s="221"/>
      <c r="N60" s="221"/>
    </row>
    <row r="61" spans="5:14" x14ac:dyDescent="0.25">
      <c r="E61" s="221"/>
      <c r="F61" s="221"/>
      <c r="G61" s="221"/>
      <c r="H61" s="221"/>
      <c r="I61" s="221"/>
      <c r="J61" s="221"/>
      <c r="K61" s="221"/>
      <c r="L61" s="221"/>
      <c r="M61" s="221"/>
      <c r="N61" s="221"/>
    </row>
    <row r="62" spans="5:14" x14ac:dyDescent="0.25">
      <c r="E62" s="221"/>
      <c r="F62" s="221"/>
      <c r="G62" s="221"/>
      <c r="H62" s="221"/>
      <c r="I62" s="221"/>
      <c r="J62" s="221"/>
      <c r="K62" s="221"/>
      <c r="L62" s="221"/>
      <c r="M62" s="221"/>
      <c r="N62" s="221"/>
    </row>
    <row r="63" spans="5:14" x14ac:dyDescent="0.25">
      <c r="E63" s="221"/>
      <c r="F63" s="221"/>
      <c r="G63" s="221"/>
      <c r="H63" s="221"/>
      <c r="I63" s="221"/>
      <c r="J63" s="221"/>
      <c r="K63" s="221"/>
      <c r="L63" s="221"/>
      <c r="M63" s="221"/>
      <c r="N63" s="221"/>
    </row>
    <row r="64" spans="5:14" x14ac:dyDescent="0.25">
      <c r="E64" s="221"/>
      <c r="F64" s="221"/>
      <c r="G64" s="221"/>
      <c r="H64" s="221"/>
      <c r="I64" s="221"/>
      <c r="J64" s="221"/>
      <c r="K64" s="221"/>
      <c r="L64" s="221"/>
      <c r="M64" s="221"/>
      <c r="N64" s="221"/>
    </row>
    <row r="65" spans="5:14" x14ac:dyDescent="0.25">
      <c r="E65" s="221"/>
      <c r="F65" s="221"/>
      <c r="G65" s="221"/>
      <c r="H65" s="221"/>
      <c r="I65" s="221"/>
      <c r="J65" s="221"/>
      <c r="K65" s="221"/>
      <c r="L65" s="221"/>
      <c r="M65" s="221"/>
      <c r="N65" s="221"/>
    </row>
    <row r="66" spans="5:14" x14ac:dyDescent="0.25">
      <c r="E66" s="221"/>
      <c r="F66" s="221"/>
      <c r="G66" s="221"/>
      <c r="H66" s="221"/>
      <c r="I66" s="221"/>
      <c r="J66" s="221"/>
      <c r="K66" s="221"/>
      <c r="L66" s="221"/>
      <c r="M66" s="221"/>
      <c r="N66" s="221"/>
    </row>
    <row r="67" spans="5:14" x14ac:dyDescent="0.25">
      <c r="E67" s="221"/>
      <c r="F67" s="221"/>
      <c r="G67" s="221"/>
      <c r="H67" s="221"/>
      <c r="I67" s="221"/>
      <c r="J67" s="221"/>
      <c r="K67" s="221"/>
      <c r="L67" s="221"/>
      <c r="M67" s="221"/>
      <c r="N67" s="221"/>
    </row>
    <row r="68" spans="5:14" x14ac:dyDescent="0.25">
      <c r="E68" s="221"/>
      <c r="F68" s="221"/>
      <c r="G68" s="221"/>
      <c r="H68" s="221"/>
      <c r="I68" s="221"/>
      <c r="J68" s="221"/>
      <c r="K68" s="221"/>
      <c r="L68" s="221"/>
      <c r="M68" s="221"/>
      <c r="N68" s="221"/>
    </row>
    <row r="69" spans="5:14" x14ac:dyDescent="0.25">
      <c r="E69" s="221"/>
      <c r="F69" s="221"/>
      <c r="G69" s="221"/>
      <c r="H69" s="221"/>
      <c r="I69" s="221"/>
      <c r="J69" s="221"/>
      <c r="K69" s="221"/>
      <c r="L69" s="221"/>
      <c r="M69" s="221"/>
      <c r="N69" s="221"/>
    </row>
    <row r="70" spans="5:14" x14ac:dyDescent="0.25">
      <c r="E70" s="221"/>
      <c r="F70" s="221"/>
      <c r="G70" s="221"/>
      <c r="H70" s="221"/>
      <c r="I70" s="221"/>
      <c r="J70" s="221"/>
      <c r="K70" s="221"/>
      <c r="L70" s="221"/>
      <c r="M70" s="221"/>
      <c r="N70" s="221"/>
    </row>
    <row r="71" spans="5:14" x14ac:dyDescent="0.25">
      <c r="E71" s="221"/>
      <c r="F71" s="221"/>
      <c r="G71" s="221"/>
      <c r="H71" s="221"/>
      <c r="I71" s="221"/>
      <c r="J71" s="221"/>
      <c r="K71" s="221"/>
      <c r="L71" s="221"/>
      <c r="M71" s="221"/>
      <c r="N71" s="221"/>
    </row>
    <row r="72" spans="5:14" x14ac:dyDescent="0.25">
      <c r="E72" s="221"/>
      <c r="F72" s="221"/>
      <c r="G72" s="221"/>
      <c r="H72" s="221"/>
      <c r="I72" s="221"/>
      <c r="J72" s="221"/>
      <c r="K72" s="221"/>
      <c r="L72" s="221"/>
      <c r="M72" s="221"/>
      <c r="N72" s="221"/>
    </row>
    <row r="73" spans="5:14" x14ac:dyDescent="0.25">
      <c r="E73" s="221"/>
      <c r="F73" s="221"/>
      <c r="G73" s="221"/>
      <c r="H73" s="221"/>
      <c r="I73" s="221"/>
      <c r="J73" s="221"/>
      <c r="K73" s="221"/>
      <c r="L73" s="221"/>
      <c r="M73" s="221"/>
      <c r="N73" s="221"/>
    </row>
    <row r="74" spans="5:14" x14ac:dyDescent="0.25">
      <c r="E74" s="221"/>
      <c r="F74" s="221"/>
      <c r="G74" s="221"/>
      <c r="H74" s="221"/>
      <c r="I74" s="221"/>
      <c r="J74" s="221"/>
      <c r="K74" s="221"/>
      <c r="L74" s="221"/>
      <c r="M74" s="221"/>
      <c r="N74" s="221"/>
    </row>
    <row r="75" spans="5:14" x14ac:dyDescent="0.25">
      <c r="E75" s="221"/>
      <c r="F75" s="221"/>
      <c r="G75" s="221"/>
      <c r="H75" s="221"/>
      <c r="I75" s="221"/>
      <c r="J75" s="221"/>
      <c r="K75" s="221"/>
      <c r="L75" s="221"/>
      <c r="M75" s="221"/>
      <c r="N75" s="221"/>
    </row>
    <row r="76" spans="5:14" x14ac:dyDescent="0.25">
      <c r="E76" s="221"/>
      <c r="F76" s="221"/>
      <c r="G76" s="221"/>
      <c r="H76" s="221"/>
      <c r="I76" s="221"/>
      <c r="J76" s="221"/>
      <c r="K76" s="221"/>
      <c r="L76" s="221"/>
      <c r="M76" s="221"/>
      <c r="N76" s="221"/>
    </row>
    <row r="77" spans="5:14" x14ac:dyDescent="0.25">
      <c r="E77" s="221"/>
      <c r="F77" s="221"/>
      <c r="G77" s="221"/>
      <c r="H77" s="221"/>
      <c r="I77" s="221"/>
      <c r="J77" s="221"/>
      <c r="K77" s="221"/>
      <c r="L77" s="221"/>
      <c r="M77" s="221"/>
      <c r="N77" s="221"/>
    </row>
    <row r="78" spans="5:14" x14ac:dyDescent="0.25">
      <c r="E78" s="221"/>
      <c r="F78" s="221"/>
      <c r="G78" s="221"/>
      <c r="H78" s="221"/>
      <c r="I78" s="221"/>
      <c r="J78" s="221"/>
      <c r="K78" s="221"/>
      <c r="L78" s="221"/>
      <c r="M78" s="221"/>
      <c r="N78" s="221"/>
    </row>
    <row r="79" spans="5:14" x14ac:dyDescent="0.25">
      <c r="E79" s="221"/>
      <c r="F79" s="221"/>
      <c r="G79" s="221"/>
      <c r="H79" s="221"/>
      <c r="I79" s="221"/>
      <c r="J79" s="221"/>
      <c r="K79" s="221"/>
      <c r="L79" s="221"/>
      <c r="M79" s="221"/>
      <c r="N79" s="221"/>
    </row>
    <row r="80" spans="5:14" x14ac:dyDescent="0.25">
      <c r="E80" s="221"/>
      <c r="F80" s="221"/>
      <c r="G80" s="221"/>
      <c r="H80" s="221"/>
      <c r="I80" s="221"/>
      <c r="J80" s="221"/>
      <c r="K80" s="221"/>
      <c r="L80" s="221"/>
      <c r="M80" s="221"/>
      <c r="N80" s="221"/>
    </row>
    <row r="81" spans="5:14" x14ac:dyDescent="0.25">
      <c r="E81" s="221"/>
      <c r="F81" s="221"/>
      <c r="G81" s="221"/>
      <c r="H81" s="221"/>
      <c r="I81" s="221"/>
      <c r="J81" s="221"/>
      <c r="K81" s="221"/>
      <c r="L81" s="221"/>
      <c r="M81" s="221"/>
      <c r="N81" s="221"/>
    </row>
    <row r="82" spans="5:14" x14ac:dyDescent="0.25">
      <c r="E82" s="221"/>
      <c r="F82" s="221"/>
      <c r="G82" s="221"/>
      <c r="H82" s="221"/>
      <c r="I82" s="221"/>
      <c r="J82" s="221"/>
      <c r="K82" s="221"/>
      <c r="L82" s="221"/>
      <c r="M82" s="221"/>
      <c r="N82" s="221"/>
    </row>
    <row r="83" spans="5:14" x14ac:dyDescent="0.25">
      <c r="E83" s="221"/>
      <c r="F83" s="221"/>
      <c r="G83" s="221"/>
      <c r="H83" s="221"/>
      <c r="I83" s="221"/>
      <c r="J83" s="221"/>
      <c r="K83" s="221"/>
      <c r="L83" s="221"/>
      <c r="M83" s="221"/>
      <c r="N83" s="221"/>
    </row>
    <row r="84" spans="5:14" x14ac:dyDescent="0.25">
      <c r="E84" s="221"/>
      <c r="F84" s="221"/>
      <c r="G84" s="221"/>
      <c r="H84" s="221"/>
      <c r="I84" s="221"/>
      <c r="J84" s="221"/>
      <c r="K84" s="221"/>
      <c r="L84" s="221"/>
      <c r="M84" s="221"/>
      <c r="N84" s="221"/>
    </row>
    <row r="85" spans="5:14" x14ac:dyDescent="0.25">
      <c r="E85" s="221"/>
      <c r="F85" s="221"/>
      <c r="G85" s="221"/>
      <c r="H85" s="221"/>
      <c r="I85" s="221"/>
      <c r="J85" s="221"/>
      <c r="K85" s="221"/>
      <c r="L85" s="221"/>
      <c r="M85" s="221"/>
      <c r="N85" s="221"/>
    </row>
    <row r="86" spans="5:14" x14ac:dyDescent="0.25">
      <c r="E86" s="221"/>
      <c r="F86" s="221"/>
      <c r="G86" s="221"/>
      <c r="H86" s="221"/>
      <c r="I86" s="221"/>
      <c r="J86" s="221"/>
      <c r="K86" s="221"/>
      <c r="L86" s="221"/>
      <c r="M86" s="221"/>
      <c r="N86" s="221"/>
    </row>
    <row r="87" spans="5:14" x14ac:dyDescent="0.25">
      <c r="E87" s="221"/>
      <c r="F87" s="221"/>
      <c r="G87" s="221"/>
      <c r="H87" s="221"/>
      <c r="I87" s="221"/>
      <c r="J87" s="221"/>
      <c r="K87" s="221"/>
      <c r="L87" s="221"/>
      <c r="M87" s="221"/>
      <c r="N87" s="221"/>
    </row>
    <row r="88" spans="5:14" x14ac:dyDescent="0.25">
      <c r="E88" s="221"/>
      <c r="F88" s="221"/>
      <c r="G88" s="221"/>
      <c r="H88" s="221"/>
      <c r="I88" s="221"/>
      <c r="J88" s="221"/>
      <c r="K88" s="221"/>
      <c r="L88" s="221"/>
      <c r="M88" s="221"/>
      <c r="N88" s="221"/>
    </row>
    <row r="89" spans="5:14" x14ac:dyDescent="0.25">
      <c r="E89" s="221"/>
      <c r="F89" s="221"/>
      <c r="G89" s="221"/>
      <c r="H89" s="221"/>
      <c r="I89" s="221"/>
      <c r="J89" s="221"/>
      <c r="K89" s="221"/>
      <c r="L89" s="221"/>
      <c r="M89" s="221"/>
      <c r="N89" s="221"/>
    </row>
    <row r="90" spans="5:14" x14ac:dyDescent="0.25">
      <c r="E90" s="221"/>
      <c r="F90" s="221"/>
      <c r="G90" s="221"/>
      <c r="H90" s="221"/>
      <c r="I90" s="221"/>
      <c r="J90" s="221"/>
      <c r="K90" s="221"/>
      <c r="L90" s="221"/>
      <c r="M90" s="221"/>
      <c r="N90" s="221"/>
    </row>
    <row r="91" spans="5:14" x14ac:dyDescent="0.25">
      <c r="E91" s="221"/>
      <c r="F91" s="221"/>
      <c r="G91" s="221"/>
      <c r="H91" s="221"/>
      <c r="I91" s="221"/>
      <c r="J91" s="221"/>
      <c r="K91" s="221"/>
      <c r="L91" s="221"/>
      <c r="M91" s="221"/>
      <c r="N91" s="221"/>
    </row>
    <row r="92" spans="5:14" x14ac:dyDescent="0.25">
      <c r="E92" s="221"/>
      <c r="F92" s="221"/>
      <c r="G92" s="221"/>
      <c r="H92" s="221"/>
      <c r="I92" s="221"/>
      <c r="J92" s="221"/>
      <c r="K92" s="221"/>
      <c r="L92" s="221"/>
      <c r="M92" s="221"/>
      <c r="N92" s="221"/>
    </row>
    <row r="93" spans="5:14" x14ac:dyDescent="0.25">
      <c r="E93" s="221"/>
      <c r="F93" s="221"/>
      <c r="G93" s="221"/>
      <c r="H93" s="221"/>
      <c r="I93" s="221"/>
      <c r="J93" s="221"/>
      <c r="K93" s="221"/>
      <c r="L93" s="221"/>
      <c r="M93" s="221"/>
      <c r="N93" s="221"/>
    </row>
    <row r="94" spans="5:14" x14ac:dyDescent="0.25">
      <c r="E94" s="221"/>
      <c r="F94" s="221"/>
      <c r="G94" s="221"/>
      <c r="H94" s="221"/>
      <c r="I94" s="221"/>
      <c r="J94" s="221"/>
      <c r="K94" s="221"/>
      <c r="L94" s="221"/>
      <c r="M94" s="221"/>
      <c r="N94" s="221"/>
    </row>
    <row r="95" spans="5:14" x14ac:dyDescent="0.25">
      <c r="E95" s="221"/>
      <c r="F95" s="221"/>
      <c r="G95" s="221"/>
      <c r="H95" s="221"/>
      <c r="I95" s="221"/>
      <c r="J95" s="221"/>
      <c r="K95" s="221"/>
      <c r="L95" s="221"/>
      <c r="M95" s="221"/>
      <c r="N95" s="221"/>
    </row>
    <row r="96" spans="5:14" x14ac:dyDescent="0.25">
      <c r="E96" s="221"/>
      <c r="F96" s="221"/>
      <c r="G96" s="221"/>
      <c r="H96" s="221"/>
      <c r="I96" s="221"/>
      <c r="J96" s="221"/>
      <c r="K96" s="221"/>
      <c r="L96" s="221"/>
      <c r="M96" s="221"/>
      <c r="N96" s="221"/>
    </row>
    <row r="97" spans="5:14" x14ac:dyDescent="0.25">
      <c r="E97" s="221"/>
      <c r="F97" s="221"/>
      <c r="G97" s="221"/>
      <c r="H97" s="221"/>
      <c r="I97" s="221"/>
      <c r="J97" s="221"/>
      <c r="K97" s="221"/>
      <c r="L97" s="221"/>
      <c r="M97" s="221"/>
      <c r="N97" s="221"/>
    </row>
    <row r="98" spans="5:14" x14ac:dyDescent="0.25">
      <c r="E98" s="221"/>
      <c r="F98" s="221"/>
      <c r="G98" s="221"/>
      <c r="H98" s="221"/>
      <c r="I98" s="221"/>
      <c r="J98" s="221"/>
      <c r="K98" s="221"/>
      <c r="L98" s="221"/>
      <c r="M98" s="221"/>
      <c r="N98" s="221"/>
    </row>
    <row r="99" spans="5:14" x14ac:dyDescent="0.25">
      <c r="E99" s="221"/>
      <c r="F99" s="221"/>
      <c r="G99" s="221"/>
      <c r="H99" s="221"/>
      <c r="I99" s="221"/>
      <c r="J99" s="221"/>
      <c r="K99" s="221"/>
      <c r="L99" s="221"/>
      <c r="M99" s="221"/>
      <c r="N99" s="221"/>
    </row>
    <row r="100" spans="5:14" x14ac:dyDescent="0.25"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</row>
    <row r="101" spans="5:14" x14ac:dyDescent="0.25"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</row>
    <row r="102" spans="5:14" x14ac:dyDescent="0.25"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</row>
    <row r="103" spans="5:14" x14ac:dyDescent="0.25"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</row>
    <row r="104" spans="5:14" x14ac:dyDescent="0.25"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C8E72-C3DB-4285-88B8-3EDD48A1A482}">
  <dimension ref="A1:N53"/>
  <sheetViews>
    <sheetView showGridLines="0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5.75" x14ac:dyDescent="0.25"/>
  <cols>
    <col min="1" max="1" width="3.125" customWidth="1"/>
    <col min="2" max="2" width="3.75" customWidth="1"/>
    <col min="3" max="3" width="48" customWidth="1"/>
    <col min="4" max="4" width="9.25" customWidth="1"/>
    <col min="5" max="8" width="9.625" bestFit="1" customWidth="1"/>
    <col min="9" max="9" width="10.25" bestFit="1" customWidth="1"/>
    <col min="10" max="14" width="9.625" bestFit="1" customWidth="1"/>
  </cols>
  <sheetData>
    <row r="1" spans="1:14" x14ac:dyDescent="0.25">
      <c r="A1" s="6" t="s">
        <v>25</v>
      </c>
      <c r="E1" s="8" t="s">
        <v>15</v>
      </c>
      <c r="F1" s="9"/>
      <c r="G1" s="9"/>
      <c r="H1" s="9"/>
      <c r="I1" s="9"/>
      <c r="J1" s="7" t="s">
        <v>16</v>
      </c>
      <c r="K1" s="2"/>
      <c r="L1" s="2"/>
      <c r="M1" s="2"/>
      <c r="N1" s="2"/>
    </row>
    <row r="2" spans="1:14" x14ac:dyDescent="0.25">
      <c r="E2" s="12">
        <v>2021</v>
      </c>
      <c r="F2" s="12">
        <v>2022</v>
      </c>
      <c r="G2" s="12">
        <v>2023</v>
      </c>
      <c r="H2" s="12">
        <v>2024</v>
      </c>
      <c r="I2" s="12">
        <v>2025</v>
      </c>
      <c r="J2" s="13">
        <v>2026</v>
      </c>
      <c r="K2" s="13">
        <v>2027</v>
      </c>
      <c r="L2" s="13">
        <v>2028</v>
      </c>
      <c r="M2" s="13">
        <v>2029</v>
      </c>
      <c r="N2" s="13">
        <v>2030</v>
      </c>
    </row>
    <row r="3" spans="1:14" x14ac:dyDescent="0.25">
      <c r="A3" s="1" t="s">
        <v>22</v>
      </c>
    </row>
    <row r="4" spans="1:14" x14ac:dyDescent="0.25">
      <c r="B4" t="s">
        <v>0</v>
      </c>
      <c r="E4" s="167">
        <v>23603.200000000001</v>
      </c>
      <c r="F4" s="167">
        <v>29626.05</v>
      </c>
      <c r="G4" s="167">
        <v>34195.43</v>
      </c>
      <c r="H4" s="167">
        <v>36851.82</v>
      </c>
      <c r="I4" s="167">
        <v>40389.32</v>
      </c>
      <c r="J4" s="168">
        <f>'Revenue Schedule'!J27</f>
        <v>45472.861739498665</v>
      </c>
      <c r="K4" s="168">
        <f>'Revenue Schedule'!K27</f>
        <v>51669.112788182123</v>
      </c>
      <c r="L4" s="168">
        <f>'Revenue Schedule'!L27</f>
        <v>63516.849257094858</v>
      </c>
      <c r="M4" s="168">
        <f>'Revenue Schedule'!M27</f>
        <v>68639.747284189099</v>
      </c>
      <c r="N4" s="168">
        <f>'Revenue Schedule'!N27</f>
        <v>74592.400503322438</v>
      </c>
    </row>
    <row r="5" spans="1:14" x14ac:dyDescent="0.25">
      <c r="B5" t="s">
        <v>1</v>
      </c>
      <c r="E5" s="167">
        <v>971.2</v>
      </c>
      <c r="F5" s="167">
        <v>899.81</v>
      </c>
      <c r="G5" s="167">
        <v>1123.3699999999999</v>
      </c>
      <c r="H5" s="167">
        <v>1305.5999999999999</v>
      </c>
      <c r="I5" s="167">
        <v>876.86</v>
      </c>
      <c r="J5" s="168">
        <f ca="1">'Revenue Schedule'!J29</f>
        <v>1342.6443123722056</v>
      </c>
      <c r="K5" s="168">
        <f ca="1">'Revenue Schedule'!K29</f>
        <v>1914.5334264257483</v>
      </c>
      <c r="L5" s="168">
        <f ca="1">'Revenue Schedule'!L29</f>
        <v>2948.1546627710254</v>
      </c>
      <c r="M5" s="168">
        <f ca="1">'Revenue Schedule'!M29</f>
        <v>3960.4778608318306</v>
      </c>
      <c r="N5" s="168">
        <f ca="1">'Revenue Schedule'!N29</f>
        <v>5093.7665210045207</v>
      </c>
    </row>
    <row r="6" spans="1:14" x14ac:dyDescent="0.25">
      <c r="B6" t="s">
        <v>2</v>
      </c>
      <c r="E6" s="167">
        <v>214.06</v>
      </c>
      <c r="F6" s="167">
        <v>369.46</v>
      </c>
      <c r="G6" s="167">
        <v>317.87</v>
      </c>
      <c r="H6" s="167">
        <v>725.24</v>
      </c>
      <c r="I6" s="167">
        <v>546.80999999999995</v>
      </c>
      <c r="J6" s="168">
        <f>'Revenue Schedule'!J30</f>
        <v>626.56723441217184</v>
      </c>
      <c r="K6" s="168">
        <f>'Revenue Schedule'!K30</f>
        <v>713.01705088585425</v>
      </c>
      <c r="L6" s="168">
        <f>'Revenue Schedule'!L30</f>
        <v>882.55208710566421</v>
      </c>
      <c r="M6" s="168">
        <f>'Revenue Schedule'!M30</f>
        <v>953.13432967332096</v>
      </c>
      <c r="N6" s="168">
        <f>'Revenue Schedule'!N30</f>
        <v>1039.132443072373</v>
      </c>
    </row>
    <row r="7" spans="1:14" x14ac:dyDescent="0.25">
      <c r="A7" s="4" t="s">
        <v>3</v>
      </c>
      <c r="B7" s="3"/>
      <c r="C7" s="4"/>
      <c r="D7" s="4"/>
      <c r="E7" s="188">
        <f t="shared" ref="E7:N7" si="0">SUM(E4:E6)</f>
        <v>24788.460000000003</v>
      </c>
      <c r="F7" s="188">
        <f t="shared" si="0"/>
        <v>30895.32</v>
      </c>
      <c r="G7" s="188">
        <f t="shared" si="0"/>
        <v>35636.670000000006</v>
      </c>
      <c r="H7" s="188">
        <f t="shared" si="0"/>
        <v>38882.659999999996</v>
      </c>
      <c r="I7" s="188">
        <f t="shared" si="0"/>
        <v>41812.99</v>
      </c>
      <c r="J7" s="189">
        <f t="shared" ca="1" si="0"/>
        <v>47442.073286283041</v>
      </c>
      <c r="K7" s="189">
        <f t="shared" ca="1" si="0"/>
        <v>54296.663265493728</v>
      </c>
      <c r="L7" s="189">
        <f t="shared" ca="1" si="0"/>
        <v>67347.556006971543</v>
      </c>
      <c r="M7" s="189">
        <f t="shared" ca="1" si="0"/>
        <v>73553.359474694254</v>
      </c>
      <c r="N7" s="189">
        <f t="shared" ca="1" si="0"/>
        <v>80725.299467399338</v>
      </c>
    </row>
    <row r="8" spans="1:14" x14ac:dyDescent="0.25">
      <c r="E8" s="176"/>
      <c r="F8" s="176"/>
      <c r="G8" s="176"/>
      <c r="H8" s="176"/>
      <c r="I8" s="176"/>
      <c r="J8" s="176"/>
      <c r="K8" s="176"/>
      <c r="L8" s="176"/>
      <c r="M8" s="176"/>
      <c r="N8" s="176"/>
    </row>
    <row r="9" spans="1:14" x14ac:dyDescent="0.25">
      <c r="A9" s="1" t="s">
        <v>23</v>
      </c>
      <c r="E9" s="176"/>
      <c r="F9" s="176"/>
      <c r="G9" s="176"/>
      <c r="H9" s="176"/>
      <c r="I9" s="176"/>
      <c r="J9" s="176"/>
      <c r="K9" s="176"/>
      <c r="L9" s="176"/>
      <c r="M9" s="176"/>
      <c r="N9" s="176"/>
    </row>
    <row r="10" spans="1:14" x14ac:dyDescent="0.25">
      <c r="B10" t="s">
        <v>4</v>
      </c>
      <c r="E10" s="167">
        <v>35.549999999999997</v>
      </c>
      <c r="F10" s="167">
        <v>84.53</v>
      </c>
      <c r="G10" s="167">
        <v>390.22</v>
      </c>
      <c r="H10" s="167">
        <v>414.36</v>
      </c>
      <c r="I10" s="167">
        <v>456.13</v>
      </c>
      <c r="J10" s="168">
        <f>'Data &amp; Assumptions'!J73</f>
        <v>456.47772750472484</v>
      </c>
      <c r="K10" s="168">
        <f>'Data &amp; Assumptions'!K73</f>
        <v>507.67157724390916</v>
      </c>
      <c r="L10" s="168">
        <f>'Data &amp; Assumptions'!L73</f>
        <v>660.3614202517191</v>
      </c>
      <c r="M10" s="168">
        <f>'Data &amp; Assumptions'!M73</f>
        <v>712.35052308504305</v>
      </c>
      <c r="N10" s="168">
        <f>'Data &amp; Assumptions'!N73</f>
        <v>718.48358573391874</v>
      </c>
    </row>
    <row r="11" spans="1:14" x14ac:dyDescent="0.25">
      <c r="B11" t="s">
        <v>5</v>
      </c>
      <c r="E11" s="167">
        <v>225.48</v>
      </c>
      <c r="F11" s="167">
        <v>228.59</v>
      </c>
      <c r="G11" s="167">
        <v>590.08000000000004</v>
      </c>
      <c r="H11" s="167">
        <v>582.76</v>
      </c>
      <c r="I11" s="167">
        <v>632.22</v>
      </c>
      <c r="J11" s="168">
        <f>'Data &amp; Assumptions'!J75</f>
        <v>718.52593139609962</v>
      </c>
      <c r="K11" s="168">
        <f>'Data &amp; Assumptions'!K75</f>
        <v>713.78759778485505</v>
      </c>
      <c r="L11" s="168">
        <f>'Data &amp; Assumptions'!L75</f>
        <v>753.27437093463118</v>
      </c>
      <c r="M11" s="168">
        <f>'Data &amp; Assumptions'!M75</f>
        <v>794.71427247110012</v>
      </c>
      <c r="N11" s="168">
        <f>'Data &amp; Assumptions'!N75</f>
        <v>819.55164025241754</v>
      </c>
    </row>
    <row r="12" spans="1:14" x14ac:dyDescent="0.25">
      <c r="B12" t="s">
        <v>6</v>
      </c>
      <c r="E12" s="167">
        <v>413.81</v>
      </c>
      <c r="F12" s="167">
        <v>585.64</v>
      </c>
      <c r="G12" s="167">
        <v>968.22</v>
      </c>
      <c r="H12" s="167">
        <v>910.66</v>
      </c>
      <c r="I12" s="167">
        <v>859.81</v>
      </c>
      <c r="J12" s="168">
        <f>'Data &amp; Assumptions'!J77</f>
        <v>939.18149471834249</v>
      </c>
      <c r="K12" s="168">
        <f>'Data &amp; Assumptions'!K77</f>
        <v>1085.5678574945046</v>
      </c>
      <c r="L12" s="168">
        <f>'Data &amp; Assumptions'!L77</f>
        <v>1351.4348762589132</v>
      </c>
      <c r="M12" s="168">
        <f>'Data &amp; Assumptions'!M77</f>
        <v>1446.4485246767872</v>
      </c>
      <c r="N12" s="168">
        <f>'Data &amp; Assumptions'!N77</f>
        <v>1583.4127750063062</v>
      </c>
    </row>
    <row r="13" spans="1:14" x14ac:dyDescent="0.25">
      <c r="B13" t="s">
        <v>26</v>
      </c>
      <c r="E13" s="167">
        <v>1794.2</v>
      </c>
      <c r="F13" s="167">
        <v>2657.67</v>
      </c>
      <c r="G13" s="167">
        <v>3028.11</v>
      </c>
      <c r="H13" s="167">
        <v>3334.31</v>
      </c>
      <c r="I13" s="167">
        <v>3645.32</v>
      </c>
      <c r="J13" s="168">
        <f>'Data &amp; Assumptions'!J79</f>
        <v>4181.2210603558979</v>
      </c>
      <c r="K13" s="168">
        <f>'Data &amp; Assumptions'!K79</f>
        <v>4785.6401515001353</v>
      </c>
      <c r="L13" s="168">
        <f>'Data &amp; Assumptions'!L79</f>
        <v>5898.8480395685301</v>
      </c>
      <c r="M13" s="168">
        <f>'Data &amp; Assumptions'!M79</f>
        <v>6376.115985035618</v>
      </c>
      <c r="N13" s="168">
        <f>'Data &amp; Assumptions'!N79</f>
        <v>6957.0955560592265</v>
      </c>
    </row>
    <row r="14" spans="1:14" x14ac:dyDescent="0.25">
      <c r="B14" t="s">
        <v>17</v>
      </c>
      <c r="E14" s="167">
        <v>8.4499999999999993</v>
      </c>
      <c r="F14" s="167">
        <v>11.56</v>
      </c>
      <c r="G14" s="167">
        <v>10.62</v>
      </c>
      <c r="H14" s="167">
        <v>10.83</v>
      </c>
      <c r="I14" s="167">
        <v>9.64</v>
      </c>
      <c r="J14" s="168">
        <f>'Data &amp; Assumptions'!J81</f>
        <v>10.363333333333333</v>
      </c>
      <c r="K14" s="168">
        <f>'Data &amp; Assumptions'!K81</f>
        <v>10.674233333333333</v>
      </c>
      <c r="L14" s="168">
        <f>'Data &amp; Assumptions'!L81</f>
        <v>10.994460333333334</v>
      </c>
      <c r="M14" s="168">
        <f>'Data &amp; Assumptions'!M81</f>
        <v>11.324294143333335</v>
      </c>
      <c r="N14" s="168">
        <f>'Data &amp; Assumptions'!N81</f>
        <v>11.664022967633334</v>
      </c>
    </row>
    <row r="15" spans="1:14" x14ac:dyDescent="0.25">
      <c r="B15" t="s">
        <v>24</v>
      </c>
      <c r="E15" s="167">
        <v>49.26</v>
      </c>
      <c r="F15" s="167">
        <v>53.81</v>
      </c>
      <c r="G15" s="167">
        <v>54.33</v>
      </c>
      <c r="H15" s="167">
        <v>57.17</v>
      </c>
      <c r="I15" s="167">
        <v>55.56</v>
      </c>
      <c r="J15" s="168">
        <f>'Data &amp; Assumptions'!J83</f>
        <v>57.312114959828477</v>
      </c>
      <c r="K15" s="168">
        <f>'Data &amp; Assumptions'!K83</f>
        <v>59.119483822328924</v>
      </c>
      <c r="L15" s="168">
        <f>'Data &amp; Assumptions'!L83</f>
        <v>60.983849049514667</v>
      </c>
      <c r="M15" s="168">
        <f>'Data &amp; Assumptions'!M83</f>
        <v>62.907008052890767</v>
      </c>
      <c r="N15" s="168">
        <f>'Data &amp; Assumptions'!N83</f>
        <v>64.890814926316253</v>
      </c>
    </row>
    <row r="16" spans="1:14" x14ac:dyDescent="0.25">
      <c r="B16" t="s">
        <v>18</v>
      </c>
      <c r="E16" s="167">
        <v>81.900000000000006</v>
      </c>
      <c r="F16" s="167">
        <v>149.49</v>
      </c>
      <c r="G16" s="167">
        <v>180.34</v>
      </c>
      <c r="H16" s="167">
        <v>174.05</v>
      </c>
      <c r="I16" s="167">
        <v>136.38999999999999</v>
      </c>
      <c r="J16" s="168">
        <f>'Data &amp; Assumptions'!J85</f>
        <v>156.28372762289666</v>
      </c>
      <c r="K16" s="168">
        <f>'Data &amp; Assumptions'!K85</f>
        <v>177.84677597396109</v>
      </c>
      <c r="L16" s="168">
        <f>'Data &amp; Assumptions'!L85</f>
        <v>220.13364634944782</v>
      </c>
      <c r="M16" s="168">
        <f>'Data &amp; Assumptions'!M85</f>
        <v>237.73886948692282</v>
      </c>
      <c r="N16" s="168">
        <f>'Data &amp; Assumptions'!N85</f>
        <v>259.18925021605486</v>
      </c>
    </row>
    <row r="17" spans="1:14" x14ac:dyDescent="0.25">
      <c r="B17" t="s">
        <v>19</v>
      </c>
      <c r="E17" s="167">
        <v>748.14</v>
      </c>
      <c r="F17" s="167">
        <v>924.63</v>
      </c>
      <c r="G17" s="167">
        <v>934.89</v>
      </c>
      <c r="H17" s="167">
        <v>1003.98</v>
      </c>
      <c r="I17" s="167">
        <v>1108.53</v>
      </c>
      <c r="J17" s="168">
        <f>'Data &amp; Assumptions'!J87</f>
        <v>1270.2192285490846</v>
      </c>
      <c r="K17" s="168">
        <f>'Data &amp; Assumptions'!K87</f>
        <v>1445.4761094685468</v>
      </c>
      <c r="L17" s="168">
        <f>'Data &amp; Assumptions'!L87</f>
        <v>1789.1689345828388</v>
      </c>
      <c r="M17" s="168">
        <f>'Data &amp; Assumptions'!M87</f>
        <v>1932.258002729955</v>
      </c>
      <c r="N17" s="168">
        <f>'Data &amp; Assumptions'!N87</f>
        <v>2106.5991608036024</v>
      </c>
    </row>
    <row r="18" spans="1:14" x14ac:dyDescent="0.25">
      <c r="B18" t="s">
        <v>20</v>
      </c>
      <c r="E18" s="167">
        <v>2.95</v>
      </c>
      <c r="F18" s="167">
        <v>2.95</v>
      </c>
      <c r="G18" s="167">
        <v>2.95</v>
      </c>
      <c r="H18" s="167">
        <v>2.95</v>
      </c>
      <c r="I18" s="167">
        <v>2.95</v>
      </c>
      <c r="J18" s="168">
        <f>'Data &amp; Assumptions'!J89</f>
        <v>2.95</v>
      </c>
      <c r="K18" s="168">
        <f>'Data &amp; Assumptions'!K89</f>
        <v>2.95</v>
      </c>
      <c r="L18" s="168">
        <f>'Data &amp; Assumptions'!L89</f>
        <v>2.95</v>
      </c>
      <c r="M18" s="168">
        <f>'Data &amp; Assumptions'!M89</f>
        <v>2.95</v>
      </c>
      <c r="N18" s="168">
        <f>'Data &amp; Assumptions'!N89</f>
        <v>2.95</v>
      </c>
    </row>
    <row r="19" spans="1:14" x14ac:dyDescent="0.25">
      <c r="B19" t="s">
        <v>21</v>
      </c>
      <c r="E19" s="167">
        <v>291.18</v>
      </c>
      <c r="F19" s="167">
        <v>408.46</v>
      </c>
      <c r="G19" s="167">
        <v>524.73</v>
      </c>
      <c r="H19" s="167">
        <v>360.01</v>
      </c>
      <c r="I19" s="167">
        <v>350.09</v>
      </c>
      <c r="J19" s="168">
        <f>'Data &amp; Assumptions'!J90</f>
        <v>360.59269999999998</v>
      </c>
      <c r="K19" s="168">
        <f>'Data &amp; Assumptions'!K90</f>
        <v>371.410481</v>
      </c>
      <c r="L19" s="168">
        <f>'Data &amp; Assumptions'!L90</f>
        <v>382.55279543</v>
      </c>
      <c r="M19" s="168">
        <f>'Data &amp; Assumptions'!M90</f>
        <v>394.02937929289999</v>
      </c>
      <c r="N19" s="168">
        <f>'Data &amp; Assumptions'!N90</f>
        <v>405.85026067168701</v>
      </c>
    </row>
    <row r="20" spans="1:14" x14ac:dyDescent="0.25">
      <c r="B20" t="s">
        <v>7</v>
      </c>
      <c r="E20" s="167">
        <v>1444.33</v>
      </c>
      <c r="F20" s="167">
        <v>1537.82</v>
      </c>
      <c r="G20" s="167">
        <v>2067.19</v>
      </c>
      <c r="H20" s="167">
        <v>2307.4699999999998</v>
      </c>
      <c r="I20" s="167">
        <v>2668.85</v>
      </c>
      <c r="J20" s="168">
        <f>'Data &amp; Assumptions'!J92</f>
        <v>2866.9905652004736</v>
      </c>
      <c r="K20" s="168">
        <f>'Data &amp; Assumptions'!K92</f>
        <v>3302.3678983641857</v>
      </c>
      <c r="L20" s="168">
        <f>'Data &amp; Assumptions'!L92</f>
        <v>4087.1032515311585</v>
      </c>
      <c r="M20" s="168">
        <f>'Data &amp; Assumptions'!M92</f>
        <v>4377.1318697070601</v>
      </c>
      <c r="N20" s="168">
        <f>'Data &amp; Assumptions'!N92</f>
        <v>4774.6637173891777</v>
      </c>
    </row>
    <row r="21" spans="1:14" x14ac:dyDescent="0.25">
      <c r="A21" s="4" t="s">
        <v>8</v>
      </c>
      <c r="B21" s="3"/>
      <c r="C21" s="4"/>
      <c r="D21" s="4"/>
      <c r="E21" s="188">
        <f t="shared" ref="E21:N21" si="1">SUM(E10:E20)</f>
        <v>5095.25</v>
      </c>
      <c r="F21" s="188">
        <f t="shared" si="1"/>
        <v>6645.15</v>
      </c>
      <c r="G21" s="188">
        <f t="shared" si="1"/>
        <v>8751.68</v>
      </c>
      <c r="H21" s="188">
        <f t="shared" si="1"/>
        <v>9158.5500000000011</v>
      </c>
      <c r="I21" s="188">
        <f t="shared" si="1"/>
        <v>9925.49</v>
      </c>
      <c r="J21" s="189">
        <f t="shared" si="1"/>
        <v>11020.117883640682</v>
      </c>
      <c r="K21" s="189">
        <f t="shared" si="1"/>
        <v>12462.512165985761</v>
      </c>
      <c r="L21" s="189">
        <f t="shared" si="1"/>
        <v>15217.805644290085</v>
      </c>
      <c r="M21" s="189">
        <f t="shared" si="1"/>
        <v>16347.968728681612</v>
      </c>
      <c r="N21" s="189">
        <f t="shared" si="1"/>
        <v>17704.350784026341</v>
      </c>
    </row>
    <row r="22" spans="1:14" x14ac:dyDescent="0.25">
      <c r="E22" s="176"/>
      <c r="F22" s="15"/>
      <c r="G22" s="15"/>
      <c r="H22" s="15"/>
      <c r="I22" s="15"/>
      <c r="J22" s="15"/>
      <c r="K22" s="15"/>
      <c r="L22" s="15"/>
      <c r="M22" s="15"/>
      <c r="N22" s="15"/>
    </row>
    <row r="23" spans="1:14" s="1" customFormat="1" x14ac:dyDescent="0.25">
      <c r="A23" s="1" t="s">
        <v>9</v>
      </c>
      <c r="E23" s="190">
        <f>E7-E21</f>
        <v>19693.210000000003</v>
      </c>
      <c r="F23" s="190">
        <f t="shared" ref="F23:N23" si="2">F7-F21</f>
        <v>24250.17</v>
      </c>
      <c r="G23" s="190">
        <f t="shared" si="2"/>
        <v>26884.990000000005</v>
      </c>
      <c r="H23" s="190">
        <f t="shared" si="2"/>
        <v>29724.109999999993</v>
      </c>
      <c r="I23" s="190">
        <f t="shared" si="2"/>
        <v>31887.5</v>
      </c>
      <c r="J23" s="191">
        <f t="shared" ca="1" si="2"/>
        <v>36421.955402642358</v>
      </c>
      <c r="K23" s="191">
        <f t="shared" ca="1" si="2"/>
        <v>41834.151099507966</v>
      </c>
      <c r="L23" s="191">
        <f t="shared" ca="1" si="2"/>
        <v>52129.750362681458</v>
      </c>
      <c r="M23" s="191">
        <f t="shared" ca="1" si="2"/>
        <v>57205.390746012643</v>
      </c>
      <c r="N23" s="191">
        <f t="shared" ca="1" si="2"/>
        <v>63020.948683372997</v>
      </c>
    </row>
    <row r="24" spans="1:14" x14ac:dyDescent="0.25">
      <c r="A24" s="1"/>
      <c r="B24" t="s">
        <v>10</v>
      </c>
      <c r="E24" s="186">
        <f t="shared" ref="E24:N24" si="3">E23/E7</f>
        <v>0.79445072424829943</v>
      </c>
      <c r="F24" s="186">
        <f t="shared" si="3"/>
        <v>0.78491402581361835</v>
      </c>
      <c r="G24" s="186">
        <f t="shared" si="3"/>
        <v>0.75441925409977983</v>
      </c>
      <c r="H24" s="186">
        <f t="shared" si="3"/>
        <v>0.7644567012647796</v>
      </c>
      <c r="I24" s="186">
        <f t="shared" si="3"/>
        <v>0.76262185507422453</v>
      </c>
      <c r="J24" s="187">
        <f t="shared" ca="1" si="3"/>
        <v>0.76771424349140038</v>
      </c>
      <c r="K24" s="187">
        <f t="shared" ca="1" si="3"/>
        <v>0.77047370102564183</v>
      </c>
      <c r="L24" s="187">
        <f t="shared" ca="1" si="3"/>
        <v>0.77404071436957855</v>
      </c>
      <c r="M24" s="187">
        <f t="shared" ca="1" si="3"/>
        <v>0.77774001289083106</v>
      </c>
      <c r="N24" s="187">
        <f t="shared" ca="1" si="3"/>
        <v>0.78068398753756019</v>
      </c>
    </row>
    <row r="25" spans="1:14" x14ac:dyDescent="0.25">
      <c r="A25" s="1"/>
      <c r="E25" s="15"/>
      <c r="F25" s="15"/>
      <c r="G25" s="15"/>
      <c r="H25" s="15"/>
      <c r="I25" s="15"/>
      <c r="J25" s="192"/>
      <c r="K25" s="192"/>
      <c r="L25" s="192"/>
      <c r="M25" s="192"/>
      <c r="N25" s="192"/>
    </row>
    <row r="26" spans="1:14" x14ac:dyDescent="0.25">
      <c r="A26" s="1"/>
      <c r="B26" t="s">
        <v>27</v>
      </c>
      <c r="E26" s="193">
        <v>6452.89</v>
      </c>
      <c r="F26" s="193">
        <v>8285.2800000000007</v>
      </c>
      <c r="G26" s="193">
        <v>9760.6299999999992</v>
      </c>
      <c r="H26" s="193">
        <v>10872.35</v>
      </c>
      <c r="I26" s="193">
        <v>13286.25</v>
      </c>
      <c r="J26" s="194">
        <f>'Debt Schedule'!J13+'Debt Schedule'!J24</f>
        <v>14059.277686235662</v>
      </c>
      <c r="K26" s="194">
        <f>'Debt Schedule'!K13+'Debt Schedule'!K24</f>
        <v>15447.900565292884</v>
      </c>
      <c r="L26" s="194">
        <f>'Debt Schedule'!L13+'Debt Schedule'!L24</f>
        <v>16626.385892428425</v>
      </c>
      <c r="M26" s="194">
        <f>'Debt Schedule'!M13+'Debt Schedule'!M24</f>
        <v>17782.389224540882</v>
      </c>
      <c r="N26" s="194">
        <f>'Debt Schedule'!N13+'Debt Schedule'!N24</f>
        <v>19017.747834363963</v>
      </c>
    </row>
    <row r="27" spans="1:14" x14ac:dyDescent="0.25">
      <c r="A27" s="1"/>
      <c r="B27" t="s">
        <v>11</v>
      </c>
      <c r="E27" s="193">
        <v>4940.1499999999996</v>
      </c>
      <c r="F27" s="193">
        <v>5996.08</v>
      </c>
      <c r="G27" s="193">
        <v>9164.92</v>
      </c>
      <c r="H27" s="193">
        <v>7572.24</v>
      </c>
      <c r="I27" s="193">
        <v>9297.9699999999993</v>
      </c>
      <c r="J27" s="194">
        <f>('Asset Schedule'!J9+'Asset Schedule'!J22)</f>
        <v>9477.6842298935535</v>
      </c>
      <c r="K27" s="194">
        <f>('Asset Schedule'!K9+'Asset Schedule'!K22)</f>
        <v>9966.1548449477923</v>
      </c>
      <c r="L27" s="194">
        <f>('Asset Schedule'!L9+'Asset Schedule'!L22)</f>
        <v>10622.427718805286</v>
      </c>
      <c r="M27" s="194">
        <f>('Asset Schedule'!M9+'Asset Schedule'!M22)</f>
        <v>10639.646516052668</v>
      </c>
      <c r="N27" s="194">
        <f>('Asset Schedule'!N9+'Asset Schedule'!N22)</f>
        <v>11040.940925926992</v>
      </c>
    </row>
    <row r="28" spans="1:14" x14ac:dyDescent="0.25">
      <c r="A28" s="1"/>
      <c r="B28" t="s">
        <v>28</v>
      </c>
      <c r="E28" s="193">
        <v>766.82</v>
      </c>
      <c r="F28" s="193">
        <v>1968.55</v>
      </c>
      <c r="G28" s="193">
        <v>2119.2399999999998</v>
      </c>
      <c r="H28" s="193">
        <v>2117.65</v>
      </c>
      <c r="I28" s="193">
        <v>2117.1799999999998</v>
      </c>
      <c r="J28" s="194">
        <f>'Asset Schedule'!J41</f>
        <v>2118.343526118007</v>
      </c>
      <c r="K28" s="194">
        <f>'Asset Schedule'!K41</f>
        <v>2118.0444090433475</v>
      </c>
      <c r="L28" s="194">
        <f>'Asset Schedule'!L41</f>
        <v>2118.1758795396318</v>
      </c>
      <c r="M28" s="194">
        <f>'Asset Schedule'!M41</f>
        <v>37.558777891605132</v>
      </c>
      <c r="N28" s="194">
        <f>'Asset Schedule'!N41</f>
        <v>1.4441975308654946</v>
      </c>
    </row>
    <row r="29" spans="1:14" x14ac:dyDescent="0.25">
      <c r="A29" s="1"/>
      <c r="B29" t="s">
        <v>29</v>
      </c>
      <c r="E29" s="193">
        <v>988.96</v>
      </c>
      <c r="F29" s="193">
        <v>0</v>
      </c>
      <c r="G29" s="193">
        <v>0</v>
      </c>
      <c r="H29" s="193">
        <f>-836.75</f>
        <v>-836.75</v>
      </c>
      <c r="I29" s="193">
        <v>6410.93</v>
      </c>
      <c r="J29" s="229">
        <v>0</v>
      </c>
      <c r="K29" s="194">
        <f t="shared" ref="K29:N29" si="4">J29</f>
        <v>0</v>
      </c>
      <c r="L29" s="194">
        <f t="shared" si="4"/>
        <v>0</v>
      </c>
      <c r="M29" s="194">
        <f t="shared" si="4"/>
        <v>0</v>
      </c>
      <c r="N29" s="194">
        <f t="shared" si="4"/>
        <v>0</v>
      </c>
    </row>
    <row r="30" spans="1:14" x14ac:dyDescent="0.25">
      <c r="B30" s="1" t="s">
        <v>30</v>
      </c>
      <c r="C30" s="1"/>
      <c r="D30" s="1"/>
      <c r="E30" s="195">
        <f t="shared" ref="E30:G30" si="5">E23-E26-E27-E28-E29</f>
        <v>6544.390000000004</v>
      </c>
      <c r="F30" s="195">
        <f t="shared" si="5"/>
        <v>8000.2599999999975</v>
      </c>
      <c r="G30" s="195">
        <f t="shared" si="5"/>
        <v>5840.200000000008</v>
      </c>
      <c r="H30" s="195">
        <f>H23-H26-H27-H28-H29</f>
        <v>9998.6199999999953</v>
      </c>
      <c r="I30" s="195">
        <f t="shared" ref="I30:N30" si="6">I23-I26-I27-I28-I29</f>
        <v>775.17000000000007</v>
      </c>
      <c r="J30" s="196">
        <f t="shared" ca="1" si="6"/>
        <v>10766.649960395134</v>
      </c>
      <c r="K30" s="196">
        <f t="shared" ca="1" si="6"/>
        <v>14302.051280223943</v>
      </c>
      <c r="L30" s="196">
        <f t="shared" ca="1" si="6"/>
        <v>22762.760871908111</v>
      </c>
      <c r="M30" s="196">
        <f t="shared" ca="1" si="6"/>
        <v>28745.796227527484</v>
      </c>
      <c r="N30" s="196">
        <f t="shared" ca="1" si="6"/>
        <v>32960.815725551183</v>
      </c>
    </row>
    <row r="31" spans="1:14" x14ac:dyDescent="0.25">
      <c r="A31" s="1"/>
      <c r="B31" t="s">
        <v>31</v>
      </c>
      <c r="E31" s="193">
        <v>994.48</v>
      </c>
      <c r="F31" s="193">
        <v>962.14</v>
      </c>
      <c r="G31" s="193">
        <v>777.5</v>
      </c>
      <c r="H31" s="193">
        <v>892.11</v>
      </c>
      <c r="I31" s="193">
        <v>1155.25</v>
      </c>
      <c r="J31" s="194">
        <f>'Asset Schedule'!J48</f>
        <v>1210.3433563015456</v>
      </c>
      <c r="K31" s="194">
        <f>'Asset Schedule'!K48</f>
        <v>1268.0640901478382</v>
      </c>
      <c r="L31" s="194">
        <f>'Asset Schedule'!L48</f>
        <v>1328.5375000000001</v>
      </c>
      <c r="M31" s="194">
        <f>'Asset Schedule'!M48</f>
        <v>1391.8948597467775</v>
      </c>
      <c r="N31" s="194">
        <f>'Asset Schedule'!N48</f>
        <v>1458.2737036700139</v>
      </c>
    </row>
    <row r="32" spans="1:14" x14ac:dyDescent="0.25">
      <c r="A32" s="4" t="s">
        <v>32</v>
      </c>
      <c r="B32" s="3"/>
      <c r="C32" s="3"/>
      <c r="D32" s="3"/>
      <c r="E32" s="197">
        <f t="shared" ref="E32:N32" si="7">E30+E31</f>
        <v>7538.8700000000044</v>
      </c>
      <c r="F32" s="197">
        <f t="shared" si="7"/>
        <v>8962.3999999999978</v>
      </c>
      <c r="G32" s="197">
        <f t="shared" si="7"/>
        <v>6617.700000000008</v>
      </c>
      <c r="H32" s="197">
        <f t="shared" si="7"/>
        <v>10890.729999999996</v>
      </c>
      <c r="I32" s="197">
        <f t="shared" si="7"/>
        <v>1930.42</v>
      </c>
      <c r="J32" s="198">
        <f t="shared" ca="1" si="7"/>
        <v>11976.99331669668</v>
      </c>
      <c r="K32" s="198">
        <f t="shared" ca="1" si="7"/>
        <v>15570.115370371781</v>
      </c>
      <c r="L32" s="198">
        <f t="shared" ca="1" si="7"/>
        <v>24091.298371908109</v>
      </c>
      <c r="M32" s="198">
        <f t="shared" ca="1" si="7"/>
        <v>30137.691087274263</v>
      </c>
      <c r="N32" s="198">
        <f t="shared" ca="1" si="7"/>
        <v>34419.089429221196</v>
      </c>
    </row>
    <row r="33" spans="1:14" x14ac:dyDescent="0.25">
      <c r="A33" s="1"/>
      <c r="B33" t="s">
        <v>13</v>
      </c>
      <c r="E33" s="193">
        <v>1649.06</v>
      </c>
      <c r="F33" s="193">
        <v>1669.3</v>
      </c>
      <c r="G33" s="193">
        <v>1527.66</v>
      </c>
      <c r="H33" s="193">
        <v>1427.74</v>
      </c>
      <c r="I33" s="193">
        <v>1676.45</v>
      </c>
      <c r="J33" s="194">
        <f>J4*'Data &amp; Assumptions'!J69</f>
        <v>1893.5563152294433</v>
      </c>
      <c r="K33" s="194">
        <f>K4*'Data &amp; Assumptions'!K69</f>
        <v>2099.3409563768932</v>
      </c>
      <c r="L33" s="194">
        <f>L4*'Data &amp; Assumptions'!L69</f>
        <v>2620.6882834987919</v>
      </c>
      <c r="M33" s="194">
        <f>M4*'Data &amp; Assumptions'!M69</f>
        <v>2826.394313618237</v>
      </c>
      <c r="N33" s="194">
        <f>N4*'Data &amp; Assumptions'!N69</f>
        <v>3059.9652724151797</v>
      </c>
    </row>
    <row r="34" spans="1:14" x14ac:dyDescent="0.25">
      <c r="A34" s="1"/>
      <c r="B34" t="s">
        <v>33</v>
      </c>
      <c r="E34" s="193">
        <f>-1093.72</f>
        <v>-1093.72</v>
      </c>
      <c r="F34" s="193">
        <f>-1590.75</f>
        <v>-1590.75</v>
      </c>
      <c r="G34" s="193">
        <v>30.46</v>
      </c>
      <c r="H34" s="193">
        <f>-177.29</f>
        <v>-177.29</v>
      </c>
      <c r="I34" s="193">
        <f>-15990.39</f>
        <v>-15990.39</v>
      </c>
      <c r="J34" s="229">
        <v>0</v>
      </c>
      <c r="K34" s="229">
        <v>0</v>
      </c>
      <c r="L34" s="229">
        <v>0</v>
      </c>
      <c r="M34" s="229">
        <v>0</v>
      </c>
      <c r="N34" s="229">
        <v>0</v>
      </c>
    </row>
    <row r="35" spans="1:14" ht="16.5" thickBot="1" x14ac:dyDescent="0.3">
      <c r="A35" s="11" t="s">
        <v>14</v>
      </c>
      <c r="B35" s="11"/>
      <c r="C35" s="11"/>
      <c r="D35" s="11"/>
      <c r="E35" s="199">
        <f t="shared" ref="E35:G35" si="8">E32-E33-E34</f>
        <v>6983.5300000000052</v>
      </c>
      <c r="F35" s="199">
        <f t="shared" si="8"/>
        <v>8883.8499999999985</v>
      </c>
      <c r="G35" s="199">
        <f t="shared" si="8"/>
        <v>5059.5800000000081</v>
      </c>
      <c r="H35" s="199">
        <f>H32-H33-H34</f>
        <v>9640.279999999997</v>
      </c>
      <c r="I35" s="199">
        <f t="shared" ref="I35:N35" si="9">I32-I33-I34</f>
        <v>16244.359999999999</v>
      </c>
      <c r="J35" s="200">
        <f t="shared" ca="1" si="9"/>
        <v>10083.437001467237</v>
      </c>
      <c r="K35" s="200">
        <f t="shared" ca="1" si="9"/>
        <v>13470.774413994888</v>
      </c>
      <c r="L35" s="200">
        <f t="shared" ca="1" si="9"/>
        <v>21470.610088409318</v>
      </c>
      <c r="M35" s="200">
        <f t="shared" ca="1" si="9"/>
        <v>27311.296773656024</v>
      </c>
      <c r="N35" s="200">
        <f t="shared" ca="1" si="9"/>
        <v>31359.124156806018</v>
      </c>
    </row>
    <row r="36" spans="1:14" ht="16.5" thickTop="1" x14ac:dyDescent="0.25">
      <c r="A36" s="1"/>
      <c r="E36" s="138"/>
      <c r="F36" s="138"/>
      <c r="G36" s="138"/>
      <c r="H36" s="138"/>
      <c r="I36" s="138"/>
      <c r="J36" s="138"/>
      <c r="K36" s="138"/>
      <c r="L36" s="138"/>
      <c r="M36" s="138"/>
      <c r="N36" s="138"/>
    </row>
    <row r="37" spans="1:14" x14ac:dyDescent="0.25">
      <c r="A37" s="1" t="s">
        <v>34</v>
      </c>
      <c r="E37" s="201"/>
      <c r="F37" s="201"/>
      <c r="G37" s="201"/>
      <c r="H37" s="201"/>
      <c r="I37" s="201"/>
      <c r="J37" s="201"/>
      <c r="K37" s="201"/>
      <c r="L37" s="201"/>
      <c r="M37" s="201"/>
      <c r="N37" s="201"/>
    </row>
    <row r="38" spans="1:14" x14ac:dyDescent="0.25">
      <c r="A38" s="1"/>
      <c r="B38" t="s">
        <v>35</v>
      </c>
      <c r="E38" s="193">
        <v>0.81</v>
      </c>
      <c r="F38" s="193">
        <v>0.83</v>
      </c>
      <c r="G38" s="193">
        <v>3.51</v>
      </c>
      <c r="H38" s="193">
        <v>6.74</v>
      </c>
      <c r="I38" s="193">
        <v>0.75</v>
      </c>
      <c r="J38" s="229">
        <v>0</v>
      </c>
      <c r="K38" s="194">
        <f t="shared" ref="K38:N38" si="10">J38</f>
        <v>0</v>
      </c>
      <c r="L38" s="194">
        <f t="shared" si="10"/>
        <v>0</v>
      </c>
      <c r="M38" s="194">
        <f t="shared" si="10"/>
        <v>0</v>
      </c>
      <c r="N38" s="194">
        <f t="shared" si="10"/>
        <v>0</v>
      </c>
    </row>
    <row r="39" spans="1:14" x14ac:dyDescent="0.25">
      <c r="A39" s="1"/>
      <c r="B39" t="s">
        <v>36</v>
      </c>
      <c r="E39" s="193">
        <v>0</v>
      </c>
      <c r="F39" s="193">
        <v>0</v>
      </c>
      <c r="G39" s="193">
        <v>0</v>
      </c>
      <c r="H39" s="193">
        <v>0</v>
      </c>
      <c r="I39" s="193">
        <f>-0.26</f>
        <v>-0.26</v>
      </c>
      <c r="J39" s="229">
        <v>0</v>
      </c>
      <c r="K39" s="194">
        <f>J39</f>
        <v>0</v>
      </c>
      <c r="L39" s="194">
        <f t="shared" ref="L39:N39" si="11">K39</f>
        <v>0</v>
      </c>
      <c r="M39" s="194">
        <f t="shared" si="11"/>
        <v>0</v>
      </c>
      <c r="N39" s="194">
        <f t="shared" si="11"/>
        <v>0</v>
      </c>
    </row>
    <row r="40" spans="1:14" x14ac:dyDescent="0.25">
      <c r="A40" s="1" t="s">
        <v>37</v>
      </c>
      <c r="E40" s="202">
        <f t="shared" ref="E40:N40" si="12">E35+E38+E39</f>
        <v>6984.3400000000056</v>
      </c>
      <c r="F40" s="202">
        <f t="shared" si="12"/>
        <v>8884.6799999999985</v>
      </c>
      <c r="G40" s="202">
        <f t="shared" si="12"/>
        <v>5063.0900000000083</v>
      </c>
      <c r="H40" s="202">
        <f t="shared" si="12"/>
        <v>9647.0199999999968</v>
      </c>
      <c r="I40" s="202">
        <f t="shared" si="12"/>
        <v>16244.849999999999</v>
      </c>
      <c r="J40" s="203">
        <f t="shared" ca="1" si="12"/>
        <v>10083.437001467237</v>
      </c>
      <c r="K40" s="203">
        <f t="shared" ca="1" si="12"/>
        <v>13470.774413994888</v>
      </c>
      <c r="L40" s="203">
        <f t="shared" ca="1" si="12"/>
        <v>21470.610088409318</v>
      </c>
      <c r="M40" s="203">
        <f t="shared" ca="1" si="12"/>
        <v>27311.296773656024</v>
      </c>
      <c r="N40" s="203">
        <f t="shared" ca="1" si="12"/>
        <v>31359.124156806018</v>
      </c>
    </row>
    <row r="41" spans="1:14" x14ac:dyDescent="0.25">
      <c r="A41" s="4" t="s">
        <v>38</v>
      </c>
      <c r="B41" s="3"/>
      <c r="C41" s="3"/>
      <c r="D41" s="3"/>
      <c r="E41" s="204">
        <f>E40/'Equity Schedule'!E4</f>
        <v>8.5216447047340225</v>
      </c>
      <c r="F41" s="204">
        <f>F40/'Equity Schedule'!F4</f>
        <v>9.3730759018207799</v>
      </c>
      <c r="G41" s="204">
        <f>G40/'Equity Schedule'!G4</f>
        <v>5.3414109306975437</v>
      </c>
      <c r="H41" s="204">
        <f>H40/'Equity Schedule'!H4</f>
        <v>10.177322164262876</v>
      </c>
      <c r="I41" s="204">
        <f>I40/'Equity Schedule'!I4</f>
        <v>17.137838623753844</v>
      </c>
      <c r="J41" s="205">
        <f ca="1">J40/'Equity Schedule'!J4</f>
        <v>10.637729255975517</v>
      </c>
      <c r="K41" s="205">
        <f ca="1">K40/'Equity Schedule'!K4</f>
        <v>14.211270528446656</v>
      </c>
      <c r="L41" s="205">
        <f ca="1">L40/'Equity Schedule'!L4</f>
        <v>22.650861709938852</v>
      </c>
      <c r="M41" s="205">
        <f ca="1">M40/'Equity Schedule'!M4</f>
        <v>28.812614256971653</v>
      </c>
      <c r="N41" s="205">
        <f ca="1">N40/'Equity Schedule'!N4</f>
        <v>33.082953008590565</v>
      </c>
    </row>
    <row r="42" spans="1:14" x14ac:dyDescent="0.25">
      <c r="A42" s="1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x14ac:dyDescent="0.25"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x14ac:dyDescent="0.25">
      <c r="A44" s="1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x14ac:dyDescent="0.25"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5"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x14ac:dyDescent="0.25"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x14ac:dyDescent="0.25">
      <c r="A48" s="1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x14ac:dyDescent="0.25">
      <c r="A49" s="1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x14ac:dyDescent="0.25"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x14ac:dyDescent="0.25"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x14ac:dyDescent="0.25">
      <c r="A52" s="1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x14ac:dyDescent="0.25">
      <c r="A53" s="1"/>
      <c r="E53" s="5"/>
      <c r="F53" s="5"/>
      <c r="G53" s="5"/>
      <c r="H53" s="5"/>
      <c r="I53" s="5"/>
      <c r="J53" s="5"/>
      <c r="K53" s="5"/>
      <c r="L53" s="5"/>
      <c r="M53" s="5"/>
      <c r="N53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C27C4-01D3-44E2-B1AA-3D0C56B384B7}">
  <dimension ref="A1:Q64"/>
  <sheetViews>
    <sheetView showGridLines="0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5.75" x14ac:dyDescent="0.25"/>
  <cols>
    <col min="1" max="3" width="3.75" style="97" customWidth="1"/>
    <col min="4" max="4" width="44.375" style="97" customWidth="1"/>
    <col min="5" max="9" width="11.375" style="97" bestFit="1" customWidth="1"/>
    <col min="10" max="11" width="11" style="97" bestFit="1" customWidth="1"/>
    <col min="12" max="14" width="11.375" style="97" bestFit="1" customWidth="1"/>
    <col min="15" max="15" width="9" style="97"/>
    <col min="16" max="16" width="9" style="96"/>
    <col min="17" max="16384" width="9" style="97"/>
  </cols>
  <sheetData>
    <row r="1" spans="1:16" x14ac:dyDescent="0.25">
      <c r="A1" s="96" t="s">
        <v>25</v>
      </c>
      <c r="E1" s="98" t="s">
        <v>15</v>
      </c>
      <c r="F1" s="99"/>
      <c r="G1" s="99"/>
      <c r="H1" s="99"/>
      <c r="I1" s="99"/>
      <c r="J1" s="100" t="s">
        <v>16</v>
      </c>
      <c r="K1" s="101"/>
      <c r="L1" s="101"/>
      <c r="M1" s="101"/>
      <c r="N1" s="101"/>
    </row>
    <row r="2" spans="1:16" x14ac:dyDescent="0.25">
      <c r="E2" s="102">
        <v>2021</v>
      </c>
      <c r="F2" s="102">
        <v>2022</v>
      </c>
      <c r="G2" s="102">
        <v>2023</v>
      </c>
      <c r="H2" s="102">
        <v>2024</v>
      </c>
      <c r="I2" s="102">
        <v>2025</v>
      </c>
      <c r="J2" s="103">
        <v>2026</v>
      </c>
      <c r="K2" s="103">
        <v>2027</v>
      </c>
      <c r="L2" s="103">
        <v>2028</v>
      </c>
      <c r="M2" s="103">
        <v>2029</v>
      </c>
      <c r="N2" s="103">
        <v>2030</v>
      </c>
    </row>
    <row r="3" spans="1:16" x14ac:dyDescent="0.25">
      <c r="A3" s="104" t="s">
        <v>117</v>
      </c>
    </row>
    <row r="4" spans="1:16" x14ac:dyDescent="0.25">
      <c r="B4" s="96" t="s">
        <v>160</v>
      </c>
      <c r="E4" s="207"/>
      <c r="F4" s="207"/>
      <c r="G4" s="207"/>
      <c r="H4" s="207"/>
      <c r="I4" s="207"/>
      <c r="J4" s="208"/>
      <c r="K4" s="208"/>
      <c r="L4" s="208"/>
      <c r="M4" s="208"/>
      <c r="N4" s="208"/>
    </row>
    <row r="5" spans="1:16" x14ac:dyDescent="0.25">
      <c r="C5" s="97" t="s">
        <v>118</v>
      </c>
      <c r="E5" s="114">
        <v>22067.35</v>
      </c>
      <c r="F5" s="114">
        <v>30235.11</v>
      </c>
      <c r="G5" s="114">
        <v>29234.26</v>
      </c>
      <c r="H5" s="114">
        <v>28996.84</v>
      </c>
      <c r="I5" s="114">
        <v>25587.64</v>
      </c>
      <c r="J5" s="210">
        <f>'Asset Schedule'!J13</f>
        <v>24631.750877366576</v>
      </c>
      <c r="K5" s="210">
        <f>'Asset Schedule'!K13</f>
        <v>23681.712831593188</v>
      </c>
      <c r="L5" s="210">
        <f>'Asset Schedule'!L13</f>
        <v>22738.441410608197</v>
      </c>
      <c r="M5" s="210">
        <f>'Asset Schedule'!M13</f>
        <v>21791.587315929501</v>
      </c>
      <c r="N5" s="210">
        <f>'Asset Schedule'!N13</f>
        <v>20847.736753472513</v>
      </c>
      <c r="P5" s="96" t="s">
        <v>204</v>
      </c>
    </row>
    <row r="6" spans="1:16" x14ac:dyDescent="0.25">
      <c r="C6" s="97" t="s">
        <v>119</v>
      </c>
      <c r="E6" s="114">
        <v>4739.47</v>
      </c>
      <c r="F6" s="114">
        <v>324.8</v>
      </c>
      <c r="G6" s="114">
        <v>604.67999999999995</v>
      </c>
      <c r="H6" s="114">
        <v>1511.5</v>
      </c>
      <c r="I6" s="114">
        <v>3129.01</v>
      </c>
      <c r="J6" s="210">
        <f>'Data &amp; Assumptions'!J121</f>
        <v>3947.4533333333334</v>
      </c>
      <c r="K6" s="210">
        <f>'Data &amp; Assumptions'!K121</f>
        <v>3447.4533333333334</v>
      </c>
      <c r="L6" s="210">
        <f>'Data &amp; Assumptions'!L121</f>
        <v>1447.4533333333334</v>
      </c>
      <c r="M6" s="210">
        <f>'Data &amp; Assumptions'!M121</f>
        <v>1447.4533333333334</v>
      </c>
      <c r="N6" s="210">
        <f>'Data &amp; Assumptions'!N121</f>
        <v>1447.4533333333334</v>
      </c>
      <c r="P6" s="96" t="s">
        <v>205</v>
      </c>
    </row>
    <row r="7" spans="1:16" x14ac:dyDescent="0.25">
      <c r="C7" s="97" t="s">
        <v>120</v>
      </c>
      <c r="E7" s="114">
        <v>272345.76</v>
      </c>
      <c r="F7" s="114">
        <v>280522.23</v>
      </c>
      <c r="G7" s="114">
        <v>279516.09999999998</v>
      </c>
      <c r="H7" s="114">
        <v>296423.02</v>
      </c>
      <c r="I7" s="114">
        <v>324404.67</v>
      </c>
      <c r="J7" s="210">
        <f>'Asset Schedule'!J26</f>
        <v>334871.02754059207</v>
      </c>
      <c r="K7" s="210">
        <f>'Asset Schedule'!K26</f>
        <v>340270.33937920351</v>
      </c>
      <c r="L7" s="210">
        <f>'Asset Schedule'!L26</f>
        <v>343039.85842381336</v>
      </c>
      <c r="M7" s="210">
        <f>'Asset Schedule'!M26</f>
        <v>344611.45219830633</v>
      </c>
      <c r="N7" s="210">
        <f>'Asset Schedule'!N26</f>
        <v>344028.74306620087</v>
      </c>
      <c r="P7" s="96" t="s">
        <v>204</v>
      </c>
    </row>
    <row r="8" spans="1:16" x14ac:dyDescent="0.25">
      <c r="C8" s="97" t="s">
        <v>121</v>
      </c>
      <c r="E8" s="114">
        <v>8968.7900000000009</v>
      </c>
      <c r="F8" s="114">
        <v>6779.98</v>
      </c>
      <c r="G8" s="114">
        <v>12063.7</v>
      </c>
      <c r="H8" s="114">
        <v>16523.47</v>
      </c>
      <c r="I8" s="114">
        <v>17735.3</v>
      </c>
      <c r="J8" s="210">
        <f>'Asset Schedule'!J33</f>
        <v>17378.642762490701</v>
      </c>
      <c r="K8" s="210">
        <f>'Asset Schedule'!K33</f>
        <v>16578.648121121434</v>
      </c>
      <c r="L8" s="210">
        <f>'Asset Schedule'!L33</f>
        <v>13695.045638581949</v>
      </c>
      <c r="M8" s="210">
        <f>'Asset Schedule'!M33</f>
        <v>7676.5819543446341</v>
      </c>
      <c r="N8" s="210">
        <f>'Asset Schedule'!N33</f>
        <v>1441.3668198334908</v>
      </c>
      <c r="P8" s="96" t="s">
        <v>204</v>
      </c>
    </row>
    <row r="9" spans="1:16" x14ac:dyDescent="0.25">
      <c r="C9" s="97" t="s">
        <v>122</v>
      </c>
      <c r="E9" s="114">
        <v>63946.239999999998</v>
      </c>
      <c r="F9" s="114">
        <v>64045.35</v>
      </c>
      <c r="G9" s="114">
        <v>64045.35</v>
      </c>
      <c r="H9" s="114">
        <v>64045.35</v>
      </c>
      <c r="I9" s="114">
        <v>61537.67</v>
      </c>
      <c r="J9" s="210">
        <f t="shared" ref="J9:N9" si="0">I9</f>
        <v>61537.67</v>
      </c>
      <c r="K9" s="210">
        <f t="shared" si="0"/>
        <v>61537.67</v>
      </c>
      <c r="L9" s="210">
        <f t="shared" si="0"/>
        <v>61537.67</v>
      </c>
      <c r="M9" s="210">
        <f t="shared" si="0"/>
        <v>61537.67</v>
      </c>
      <c r="N9" s="210">
        <f t="shared" si="0"/>
        <v>61537.67</v>
      </c>
    </row>
    <row r="10" spans="1:16" x14ac:dyDescent="0.25">
      <c r="C10" s="97" t="s">
        <v>123</v>
      </c>
      <c r="E10" s="114">
        <v>15924.64</v>
      </c>
      <c r="F10" s="114">
        <v>13978</v>
      </c>
      <c r="G10" s="114">
        <v>11864.35</v>
      </c>
      <c r="H10" s="114">
        <v>9747.34</v>
      </c>
      <c r="I10" s="114">
        <v>6387.79</v>
      </c>
      <c r="J10" s="210">
        <f>'Asset Schedule'!J44</f>
        <v>4271.6098072153236</v>
      </c>
      <c r="K10" s="210">
        <f>'Asset Schedule'!K44</f>
        <v>2154.5865092830863</v>
      </c>
      <c r="L10" s="210">
        <f>'Asset Schedule'!L44</f>
        <v>37.558777891605132</v>
      </c>
      <c r="M10" s="210">
        <f>'Asset Schedule'!M44</f>
        <v>1.4441975308654946</v>
      </c>
      <c r="N10" s="210">
        <f>'Asset Schedule'!N44</f>
        <v>1.2044855967069452</v>
      </c>
      <c r="P10" s="96" t="s">
        <v>204</v>
      </c>
    </row>
    <row r="11" spans="1:16" x14ac:dyDescent="0.25">
      <c r="C11" s="97" t="s">
        <v>124</v>
      </c>
      <c r="E11" s="114">
        <v>24118.57</v>
      </c>
      <c r="F11" s="114">
        <v>23634.69</v>
      </c>
      <c r="G11" s="114">
        <v>23081.17</v>
      </c>
      <c r="H11" s="114">
        <v>22910.35</v>
      </c>
      <c r="I11" s="114">
        <v>22706.02</v>
      </c>
      <c r="J11" s="210">
        <f>'Asset Schedule'!J51</f>
        <v>22865.530734470383</v>
      </c>
      <c r="K11" s="210">
        <f>'Asset Schedule'!K51</f>
        <v>23032.648464593742</v>
      </c>
      <c r="L11" s="210">
        <f>'Asset Schedule'!L51</f>
        <v>23207.735964593739</v>
      </c>
      <c r="M11" s="210">
        <f>'Asset Schedule'!M51</f>
        <v>23391.17330923468</v>
      </c>
      <c r="N11" s="210">
        <f>'Asset Schedule'!N51</f>
        <v>23583.358698876538</v>
      </c>
      <c r="P11" s="96" t="s">
        <v>204</v>
      </c>
    </row>
    <row r="12" spans="1:16" x14ac:dyDescent="0.25">
      <c r="C12" s="96" t="s">
        <v>125</v>
      </c>
      <c r="E12" s="114"/>
      <c r="F12" s="114"/>
      <c r="G12" s="114"/>
      <c r="H12" s="114"/>
      <c r="I12" s="114"/>
      <c r="J12" s="210"/>
      <c r="K12" s="210"/>
      <c r="L12" s="210"/>
      <c r="M12" s="210"/>
      <c r="N12" s="210"/>
    </row>
    <row r="13" spans="1:16" x14ac:dyDescent="0.25">
      <c r="D13" s="97" t="s">
        <v>126</v>
      </c>
      <c r="E13" s="114">
        <v>0</v>
      </c>
      <c r="F13" s="114">
        <v>0</v>
      </c>
      <c r="G13" s="114">
        <v>8157.82</v>
      </c>
      <c r="H13" s="114">
        <v>6700</v>
      </c>
      <c r="I13" s="114">
        <v>6823.1</v>
      </c>
      <c r="J13" s="210">
        <f>'Data &amp; Assumptions'!J132</f>
        <v>6073.1</v>
      </c>
      <c r="K13" s="210">
        <f>'Data &amp; Assumptions'!K132</f>
        <v>5323.1</v>
      </c>
      <c r="L13" s="210">
        <f>'Data &amp; Assumptions'!L132</f>
        <v>4573.1000000000004</v>
      </c>
      <c r="M13" s="210">
        <f>'Data &amp; Assumptions'!M132</f>
        <v>3823.1000000000004</v>
      </c>
      <c r="N13" s="210">
        <f>'Data &amp; Assumptions'!N132</f>
        <v>3073.1000000000004</v>
      </c>
      <c r="P13" s="96" t="s">
        <v>254</v>
      </c>
    </row>
    <row r="14" spans="1:16" x14ac:dyDescent="0.25">
      <c r="D14" s="97" t="s">
        <v>127</v>
      </c>
      <c r="E14" s="114">
        <v>4839.8</v>
      </c>
      <c r="F14" s="114">
        <v>2781.36</v>
      </c>
      <c r="G14" s="114">
        <v>3469.09</v>
      </c>
      <c r="H14" s="114">
        <v>4002.05</v>
      </c>
      <c r="I14" s="114">
        <v>6116.22</v>
      </c>
      <c r="J14" s="210">
        <f>'Data &amp; Assumptions'!J134</f>
        <v>7033.6529999999993</v>
      </c>
      <c r="K14" s="210">
        <f>'Data &amp; Assumptions'!K134</f>
        <v>8088.7009499999986</v>
      </c>
      <c r="L14" s="210">
        <f>'Data &amp; Assumptions'!L134</f>
        <v>9302.006092499998</v>
      </c>
      <c r="M14" s="210">
        <f>'Data &amp; Assumptions'!M134</f>
        <v>10697.307006374996</v>
      </c>
      <c r="N14" s="210">
        <f>'Data &amp; Assumptions'!N134</f>
        <v>12301.903057331245</v>
      </c>
      <c r="P14" s="96" t="s">
        <v>254</v>
      </c>
    </row>
    <row r="15" spans="1:16" x14ac:dyDescent="0.25">
      <c r="C15" s="97" t="s">
        <v>128</v>
      </c>
      <c r="E15" s="114">
        <v>48.84</v>
      </c>
      <c r="F15" s="114">
        <v>89.3</v>
      </c>
      <c r="G15" s="114">
        <v>121.1</v>
      </c>
      <c r="H15" s="114">
        <v>162.05000000000001</v>
      </c>
      <c r="I15" s="114">
        <v>120.52</v>
      </c>
      <c r="J15" s="210">
        <f>'Data &amp; Assumptions'!J136</f>
        <v>120.52</v>
      </c>
      <c r="K15" s="210">
        <f>'Data &amp; Assumptions'!K136</f>
        <v>120.52</v>
      </c>
      <c r="L15" s="210">
        <f>'Data &amp; Assumptions'!L136</f>
        <v>120.52</v>
      </c>
      <c r="M15" s="210">
        <f>'Data &amp; Assumptions'!M136</f>
        <v>120.52</v>
      </c>
      <c r="N15" s="210">
        <f>'Data &amp; Assumptions'!N136</f>
        <v>120.52</v>
      </c>
      <c r="P15" s="96" t="s">
        <v>254</v>
      </c>
    </row>
    <row r="16" spans="1:16" x14ac:dyDescent="0.25">
      <c r="C16" s="97" t="s">
        <v>129</v>
      </c>
      <c r="E16" s="114">
        <v>1095.27</v>
      </c>
      <c r="F16" s="114">
        <v>814.99</v>
      </c>
      <c r="G16" s="114">
        <v>976.62</v>
      </c>
      <c r="H16" s="114">
        <v>667.73</v>
      </c>
      <c r="I16" s="114">
        <v>373.35</v>
      </c>
      <c r="J16" s="210">
        <f>'Data &amp; Assumptions'!J137</f>
        <v>298.68</v>
      </c>
      <c r="K16" s="210">
        <f>'Data &amp; Assumptions'!K137</f>
        <v>238.94400000000002</v>
      </c>
      <c r="L16" s="210">
        <f>'Data &amp; Assumptions'!L137</f>
        <v>200</v>
      </c>
      <c r="M16" s="210">
        <f>'Data &amp; Assumptions'!M137</f>
        <v>200</v>
      </c>
      <c r="N16" s="210">
        <f>'Data &amp; Assumptions'!N137</f>
        <v>200</v>
      </c>
      <c r="P16" s="96" t="s">
        <v>254</v>
      </c>
    </row>
    <row r="17" spans="1:16" x14ac:dyDescent="0.25">
      <c r="C17" s="97" t="s">
        <v>130</v>
      </c>
      <c r="E17" s="114">
        <v>18383.62</v>
      </c>
      <c r="F17" s="114">
        <v>19001.37</v>
      </c>
      <c r="G17" s="114">
        <v>19529.66</v>
      </c>
      <c r="H17" s="114">
        <v>8803.7800000000007</v>
      </c>
      <c r="I17" s="114">
        <v>2745.4</v>
      </c>
      <c r="J17" s="210">
        <f>'Data &amp; Assumptions'!J138</f>
        <v>2196.3200000000002</v>
      </c>
      <c r="K17" s="210">
        <f>'Data &amp; Assumptions'!K138</f>
        <v>1757.0560000000003</v>
      </c>
      <c r="L17" s="210">
        <f>'Data &amp; Assumptions'!L138</f>
        <v>1500</v>
      </c>
      <c r="M17" s="210">
        <f>'Data &amp; Assumptions'!M138</f>
        <v>1500</v>
      </c>
      <c r="N17" s="210">
        <f>'Data &amp; Assumptions'!N138</f>
        <v>1500</v>
      </c>
      <c r="P17" s="96" t="s">
        <v>254</v>
      </c>
    </row>
    <row r="18" spans="1:16" x14ac:dyDescent="0.25">
      <c r="B18" s="109" t="s">
        <v>131</v>
      </c>
      <c r="C18" s="110"/>
      <c r="D18" s="110"/>
      <c r="E18" s="115">
        <f t="shared" ref="E18" si="1">SUM(E5:E17)</f>
        <v>436478.35000000003</v>
      </c>
      <c r="F18" s="115">
        <f t="shared" ref="F18" si="2">SUM(F5:F17)</f>
        <v>442207.17999999988</v>
      </c>
      <c r="G18" s="115">
        <f t="shared" ref="G18" si="3">SUM(G5:G17)</f>
        <v>452663.89999999991</v>
      </c>
      <c r="H18" s="115">
        <f t="shared" ref="H18" si="4">SUM(H5:H17)</f>
        <v>460493.48000000004</v>
      </c>
      <c r="I18" s="115">
        <f t="shared" ref="I18" si="5">SUM(I5:I17)</f>
        <v>477666.68999999994</v>
      </c>
      <c r="J18" s="211">
        <f t="shared" ref="J18" si="6">SUM(J5:J17)</f>
        <v>485225.95805546839</v>
      </c>
      <c r="K18" s="211">
        <f t="shared" ref="K18" si="7">SUM(K5:K17)</f>
        <v>486231.37958912831</v>
      </c>
      <c r="L18" s="211">
        <f t="shared" ref="L18" si="8">SUM(L5:L17)</f>
        <v>481399.38964132225</v>
      </c>
      <c r="M18" s="211">
        <f t="shared" ref="M18" si="9">SUM(M5:M17)</f>
        <v>476798.28931505431</v>
      </c>
      <c r="N18" s="211">
        <f t="shared" ref="N18" si="10">SUM(N5:N17)</f>
        <v>470083.05621464457</v>
      </c>
    </row>
    <row r="19" spans="1:16" x14ac:dyDescent="0.25">
      <c r="B19" s="96" t="s">
        <v>161</v>
      </c>
      <c r="E19" s="114"/>
      <c r="F19" s="114"/>
      <c r="G19" s="114"/>
      <c r="H19" s="114"/>
      <c r="I19" s="114"/>
      <c r="J19" s="113"/>
      <c r="K19" s="113"/>
      <c r="L19" s="113"/>
      <c r="M19" s="113"/>
      <c r="N19" s="113"/>
    </row>
    <row r="20" spans="1:16" x14ac:dyDescent="0.25">
      <c r="C20" s="97" t="s">
        <v>132</v>
      </c>
      <c r="E20" s="114">
        <v>10.8</v>
      </c>
      <c r="F20" s="114">
        <v>11.09</v>
      </c>
      <c r="G20" s="114">
        <v>35.89</v>
      </c>
      <c r="H20" s="114">
        <v>50.91</v>
      </c>
      <c r="I20" s="114">
        <v>45.45</v>
      </c>
      <c r="J20" s="210">
        <f>((2*('Data &amp; Assumptions'!J109*'P&amp;L'!J10/365))-I20)</f>
        <v>58.396407224256436</v>
      </c>
      <c r="K20" s="210">
        <f>((2*('Data &amp; Assumptions'!K109*'P&amp;L'!K10/365))-J20)</f>
        <v>58.379838357109975</v>
      </c>
      <c r="L20" s="210">
        <f>((2*('Data &amp; Assumptions'!L109*'P&amp;L'!L10/365))-K20)</f>
        <v>92.683853736741383</v>
      </c>
      <c r="M20" s="210">
        <f>((2*('Data &amp; Assumptions'!M109*'P&amp;L'!M10/365))-L20)</f>
        <v>70.723059621807977</v>
      </c>
      <c r="N20" s="210">
        <f>((2*('Data &amp; Assumptions'!N109*'P&amp;L'!N10/365))-M20)</f>
        <v>93.863665765937327</v>
      </c>
      <c r="P20" s="96" t="s">
        <v>428</v>
      </c>
    </row>
    <row r="21" spans="1:16" x14ac:dyDescent="0.25">
      <c r="C21" s="96" t="s">
        <v>125</v>
      </c>
      <c r="E21" s="114"/>
      <c r="F21" s="114"/>
      <c r="G21" s="114"/>
      <c r="H21" s="114"/>
      <c r="I21" s="114"/>
      <c r="J21" s="210"/>
      <c r="K21" s="210"/>
      <c r="L21" s="210"/>
      <c r="M21" s="210"/>
      <c r="N21" s="210"/>
    </row>
    <row r="22" spans="1:16" x14ac:dyDescent="0.25">
      <c r="D22" s="97" t="s">
        <v>126</v>
      </c>
      <c r="E22" s="114">
        <v>0</v>
      </c>
      <c r="F22" s="114">
        <v>0</v>
      </c>
      <c r="G22" s="114">
        <v>0</v>
      </c>
      <c r="H22" s="114">
        <v>30.13</v>
      </c>
      <c r="I22" s="114">
        <v>670.35</v>
      </c>
      <c r="J22" s="210">
        <f ca="1">'Data &amp; Assumptions'!J140+(-CF!J35)</f>
        <v>679.28620000000001</v>
      </c>
      <c r="K22" s="210">
        <f ca="1">'Data &amp; Assumptions'!K140+(-CF!K35)</f>
        <v>2567.5660209700964</v>
      </c>
      <c r="L22" s="210">
        <f ca="1">'Data &amp; Assumptions'!L140+(-CF!L35)</f>
        <v>10300.395142258505</v>
      </c>
      <c r="M22" s="210">
        <f ca="1">'Data &amp; Assumptions'!M140+(-CF!M35)</f>
        <v>17961.644344866105</v>
      </c>
      <c r="N22" s="210">
        <f ca="1">'Data &amp; Assumptions'!N140+(-CF!N35)</f>
        <v>26607.545297827834</v>
      </c>
      <c r="P22" s="96" t="s">
        <v>205</v>
      </c>
    </row>
    <row r="23" spans="1:16" x14ac:dyDescent="0.25">
      <c r="D23" s="97" t="s">
        <v>133</v>
      </c>
      <c r="E23" s="114">
        <v>473.16</v>
      </c>
      <c r="F23" s="114">
        <v>605.80999999999995</v>
      </c>
      <c r="G23" s="114">
        <v>503.96</v>
      </c>
      <c r="H23" s="114">
        <v>347.65</v>
      </c>
      <c r="I23" s="114">
        <v>820.24</v>
      </c>
      <c r="J23" s="210">
        <f>((2*'Data &amp; Assumptions'!J110*'P&amp;L'!J4/365)-BS!I23)</f>
        <v>466.54467222136077</v>
      </c>
      <c r="K23" s="210">
        <f>((2*'Data &amp; Assumptions'!K110*'P&amp;L'!K4/365)-BS!J23)</f>
        <v>1083.2542130895861</v>
      </c>
      <c r="L23" s="210">
        <f>((2*'Data &amp; Assumptions'!L110*'P&amp;L'!L4/365)-BS!K23)</f>
        <v>768.02525714834405</v>
      </c>
      <c r="M23" s="210">
        <f>((2*'Data &amp; Assumptions'!M110*'P&amp;L'!M4/365)-BS!L23)</f>
        <v>1261.6850527102845</v>
      </c>
      <c r="N23" s="210">
        <f>((2*'Data &amp; Assumptions'!N110*'P&amp;L'!N4/365)-BS!M23)</f>
        <v>928.22676912160864</v>
      </c>
      <c r="P23" s="96" t="s">
        <v>428</v>
      </c>
    </row>
    <row r="24" spans="1:16" x14ac:dyDescent="0.25">
      <c r="D24" s="261" t="s">
        <v>134</v>
      </c>
      <c r="E24" s="262">
        <v>9174.7800000000007</v>
      </c>
      <c r="F24" s="262">
        <v>5884.49</v>
      </c>
      <c r="G24" s="262">
        <v>8173.48</v>
      </c>
      <c r="H24" s="262">
        <v>10113.73</v>
      </c>
      <c r="I24" s="262">
        <v>6630.18</v>
      </c>
      <c r="J24" s="210">
        <f ca="1">CF!J61</f>
        <v>9421.2136979105053</v>
      </c>
      <c r="K24" s="210">
        <f ca="1">CF!K61</f>
        <v>12000.000000000007</v>
      </c>
      <c r="L24" s="210">
        <f ca="1">CF!L61</f>
        <v>12000.000000000007</v>
      </c>
      <c r="M24" s="210">
        <f ca="1">CF!M61</f>
        <v>12000.000000000007</v>
      </c>
      <c r="N24" s="210">
        <f ca="1">CF!N61</f>
        <v>12000.000000000007</v>
      </c>
      <c r="P24" s="96" t="s">
        <v>427</v>
      </c>
    </row>
    <row r="25" spans="1:16" x14ac:dyDescent="0.25">
      <c r="D25" s="97" t="s">
        <v>135</v>
      </c>
      <c r="E25" s="114">
        <v>253.75</v>
      </c>
      <c r="F25" s="114">
        <v>231.5</v>
      </c>
      <c r="G25" s="114">
        <v>580.1</v>
      </c>
      <c r="H25" s="114">
        <v>156.6</v>
      </c>
      <c r="I25" s="114">
        <v>135.68</v>
      </c>
      <c r="J25" s="210">
        <f>'Data &amp; Assumptions'!J144</f>
        <v>145.17760000000001</v>
      </c>
      <c r="K25" s="210">
        <f>'Data &amp; Assumptions'!K144</f>
        <v>155.34003200000004</v>
      </c>
      <c r="L25" s="210">
        <f>'Data &amp; Assumptions'!L144</f>
        <v>166.21383424000004</v>
      </c>
      <c r="M25" s="210">
        <f>'Data &amp; Assumptions'!M144</f>
        <v>177.84880263680006</v>
      </c>
      <c r="N25" s="210">
        <f>'Data &amp; Assumptions'!N144</f>
        <v>190.29821882137608</v>
      </c>
      <c r="P25" s="96" t="s">
        <v>205</v>
      </c>
    </row>
    <row r="26" spans="1:16" x14ac:dyDescent="0.25">
      <c r="D26" s="97" t="s">
        <v>127</v>
      </c>
      <c r="E26" s="114">
        <v>4057.38</v>
      </c>
      <c r="F26" s="114">
        <v>2244.59</v>
      </c>
      <c r="G26" s="114">
        <v>1318.96</v>
      </c>
      <c r="H26" s="114">
        <v>1387.65</v>
      </c>
      <c r="I26" s="114">
        <v>1849.02</v>
      </c>
      <c r="J26" s="210">
        <f>'Data &amp; Assumptions'!J146</f>
        <v>1941.471</v>
      </c>
      <c r="K26" s="210">
        <f>'Data &amp; Assumptions'!K146</f>
        <v>2038.5445500000001</v>
      </c>
      <c r="L26" s="210">
        <f>'Data &amp; Assumptions'!L146</f>
        <v>2140.4717775000004</v>
      </c>
      <c r="M26" s="210">
        <f>'Data &amp; Assumptions'!M146</f>
        <v>2247.4953663750007</v>
      </c>
      <c r="N26" s="210">
        <f>'Data &amp; Assumptions'!N146</f>
        <v>2359.870134693751</v>
      </c>
      <c r="P26" s="96" t="s">
        <v>205</v>
      </c>
    </row>
    <row r="27" spans="1:16" x14ac:dyDescent="0.25">
      <c r="C27" s="97" t="s">
        <v>138</v>
      </c>
      <c r="E27" s="114">
        <v>0</v>
      </c>
      <c r="F27" s="114">
        <v>307.19</v>
      </c>
      <c r="G27" s="114">
        <v>0</v>
      </c>
      <c r="H27" s="114">
        <v>0</v>
      </c>
      <c r="I27" s="114">
        <v>0</v>
      </c>
      <c r="J27" s="210">
        <f t="shared" ref="J27:N27" si="11">I27</f>
        <v>0</v>
      </c>
      <c r="K27" s="210">
        <f t="shared" si="11"/>
        <v>0</v>
      </c>
      <c r="L27" s="210">
        <f t="shared" si="11"/>
        <v>0</v>
      </c>
      <c r="M27" s="210">
        <f t="shared" si="11"/>
        <v>0</v>
      </c>
      <c r="N27" s="210">
        <f t="shared" si="11"/>
        <v>0</v>
      </c>
    </row>
    <row r="28" spans="1:16" x14ac:dyDescent="0.25">
      <c r="C28" s="97" t="s">
        <v>136</v>
      </c>
      <c r="E28" s="114">
        <v>395.34</v>
      </c>
      <c r="F28" s="114">
        <v>466.94</v>
      </c>
      <c r="G28" s="114">
        <v>841.38</v>
      </c>
      <c r="H28" s="114">
        <v>1178.3800000000001</v>
      </c>
      <c r="I28" s="114">
        <v>1660.06</v>
      </c>
      <c r="J28" s="210">
        <f>'Data &amp; Assumptions'!J148</f>
        <v>1480.6368504290604</v>
      </c>
      <c r="K28" s="210">
        <f>'Data &amp; Assumptions'!K148</f>
        <v>1819.4161647897304</v>
      </c>
      <c r="L28" s="210">
        <f>'Data &amp; Assumptions'!L148</f>
        <v>2305.1363185533764</v>
      </c>
      <c r="M28" s="210">
        <f>'Data &amp; Assumptions'!M148</f>
        <v>2381.00893381383</v>
      </c>
      <c r="N28" s="210">
        <f>'Data &amp; Assumptions'!N148</f>
        <v>2640.3983013884636</v>
      </c>
      <c r="P28" s="96" t="s">
        <v>205</v>
      </c>
    </row>
    <row r="29" spans="1:16" x14ac:dyDescent="0.25">
      <c r="B29" s="109" t="s">
        <v>137</v>
      </c>
      <c r="C29" s="110"/>
      <c r="D29" s="110"/>
      <c r="E29" s="115">
        <f>SUM(E20:E28)</f>
        <v>14365.210000000003</v>
      </c>
      <c r="F29" s="115">
        <f t="shared" ref="F29" si="12">SUM(F20:F28)</f>
        <v>9751.61</v>
      </c>
      <c r="G29" s="115">
        <f t="shared" ref="G29" si="13">SUM(G20:G28)</f>
        <v>11453.769999999999</v>
      </c>
      <c r="H29" s="115">
        <f t="shared" ref="H29" si="14">SUM(H20:H28)</f>
        <v>13265.05</v>
      </c>
      <c r="I29" s="115">
        <f t="shared" ref="I29" si="15">SUM(I20:I28)</f>
        <v>11810.98</v>
      </c>
      <c r="J29" s="211">
        <f t="shared" ref="J29" ca="1" si="16">SUM(J20:J28)</f>
        <v>14192.726427785183</v>
      </c>
      <c r="K29" s="211">
        <f t="shared" ref="K29" ca="1" si="17">SUM(K20:K28)</f>
        <v>19722.500819206529</v>
      </c>
      <c r="L29" s="211">
        <f t="shared" ref="L29" ca="1" si="18">SUM(L20:L28)</f>
        <v>27772.926183436972</v>
      </c>
      <c r="M29" s="211">
        <f t="shared" ref="M29" ca="1" si="19">SUM(M20:M28)</f>
        <v>36100.405560023828</v>
      </c>
      <c r="N29" s="211">
        <f t="shared" ref="N29" ca="1" si="20">SUM(N20:N28)</f>
        <v>44820.202387618978</v>
      </c>
    </row>
    <row r="30" spans="1:16" ht="16.5" thickBot="1" x14ac:dyDescent="0.3">
      <c r="A30" s="111" t="s">
        <v>139</v>
      </c>
      <c r="B30" s="112"/>
      <c r="C30" s="112"/>
      <c r="D30" s="112"/>
      <c r="E30" s="116">
        <f t="shared" ref="E30:N30" si="21">E29+E18</f>
        <v>450843.56000000006</v>
      </c>
      <c r="F30" s="116">
        <f t="shared" si="21"/>
        <v>451958.78999999986</v>
      </c>
      <c r="G30" s="116">
        <f t="shared" si="21"/>
        <v>464117.66999999993</v>
      </c>
      <c r="H30" s="116">
        <f t="shared" si="21"/>
        <v>473758.53</v>
      </c>
      <c r="I30" s="116">
        <f t="shared" si="21"/>
        <v>489477.66999999993</v>
      </c>
      <c r="J30" s="212">
        <f t="shared" ca="1" si="21"/>
        <v>499418.68448325357</v>
      </c>
      <c r="K30" s="212">
        <f t="shared" ca="1" si="21"/>
        <v>505953.88040833484</v>
      </c>
      <c r="L30" s="212">
        <f t="shared" ca="1" si="21"/>
        <v>509172.31582475925</v>
      </c>
      <c r="M30" s="212">
        <f t="shared" ca="1" si="21"/>
        <v>512898.69487507816</v>
      </c>
      <c r="N30" s="212">
        <f t="shared" ca="1" si="21"/>
        <v>514903.25860226352</v>
      </c>
    </row>
    <row r="31" spans="1:16" ht="16.5" thickTop="1" x14ac:dyDescent="0.25">
      <c r="E31" s="114"/>
      <c r="F31" s="114"/>
      <c r="G31" s="114"/>
      <c r="H31" s="114"/>
      <c r="I31" s="114"/>
      <c r="J31" s="113"/>
      <c r="K31" s="113"/>
      <c r="L31" s="113"/>
      <c r="M31" s="113"/>
      <c r="N31" s="113"/>
    </row>
    <row r="32" spans="1:16" x14ac:dyDescent="0.25">
      <c r="A32" s="104" t="s">
        <v>140</v>
      </c>
      <c r="E32" s="114"/>
      <c r="F32" s="114"/>
      <c r="G32" s="114"/>
      <c r="H32" s="114"/>
      <c r="I32" s="114"/>
      <c r="J32" s="113"/>
      <c r="K32" s="113"/>
      <c r="L32" s="113"/>
      <c r="M32" s="113"/>
      <c r="N32" s="113"/>
    </row>
    <row r="33" spans="1:17" x14ac:dyDescent="0.25">
      <c r="A33" s="104" t="s">
        <v>141</v>
      </c>
      <c r="E33" s="114"/>
      <c r="F33" s="114"/>
      <c r="G33" s="114"/>
      <c r="H33" s="114"/>
      <c r="I33" s="114"/>
      <c r="J33" s="113"/>
      <c r="K33" s="113"/>
      <c r="L33" s="113"/>
      <c r="M33" s="113"/>
      <c r="N33" s="113"/>
    </row>
    <row r="34" spans="1:17" x14ac:dyDescent="0.25">
      <c r="B34" s="97" t="s">
        <v>142</v>
      </c>
      <c r="E34" s="114">
        <v>288262.11</v>
      </c>
      <c r="F34" s="114">
        <v>288262.11</v>
      </c>
      <c r="G34" s="114">
        <v>288262.11</v>
      </c>
      <c r="H34" s="114">
        <v>288262.11</v>
      </c>
      <c r="I34" s="114">
        <v>288262.11</v>
      </c>
      <c r="J34" s="210">
        <f t="shared" ref="J34:N34" si="22">I34</f>
        <v>288262.11</v>
      </c>
      <c r="K34" s="210">
        <f t="shared" si="22"/>
        <v>288262.11</v>
      </c>
      <c r="L34" s="210">
        <f t="shared" si="22"/>
        <v>288262.11</v>
      </c>
      <c r="M34" s="210">
        <f t="shared" si="22"/>
        <v>288262.11</v>
      </c>
      <c r="N34" s="210">
        <f t="shared" si="22"/>
        <v>288262.11</v>
      </c>
    </row>
    <row r="35" spans="1:17" x14ac:dyDescent="0.25">
      <c r="B35" s="97" t="s">
        <v>143</v>
      </c>
      <c r="E35" s="114">
        <f>-17331.44</f>
        <v>-17331.439999999999</v>
      </c>
      <c r="F35" s="114">
        <f>-29395.21</f>
        <v>-29395.21</v>
      </c>
      <c r="G35" s="114">
        <f>-44579.13</f>
        <v>-44579.13</v>
      </c>
      <c r="H35" s="114">
        <f>-55520.36</f>
        <v>-55520.36</v>
      </c>
      <c r="I35" s="114">
        <f>-60650.51</f>
        <v>-60650.51</v>
      </c>
      <c r="J35" s="210">
        <f ca="1">'Equity Schedule'!J14</f>
        <v>-74336.620561730117</v>
      </c>
      <c r="K35" s="210">
        <f ca="1">'Equity Schedule'!K14</f>
        <v>-85355.741780483891</v>
      </c>
      <c r="L35" s="210">
        <f ca="1">'Equity Schedule'!L14</f>
        <v>-99495.236931682186</v>
      </c>
      <c r="M35" s="210">
        <f ca="1">'Equity Schedule'!M14</f>
        <v>-107260.63660225028</v>
      </c>
      <c r="N35" s="210">
        <f ca="1">'Equity Schedule'!N14</f>
        <v>-115196.93726893939</v>
      </c>
      <c r="P35" s="260" t="s">
        <v>297</v>
      </c>
      <c r="Q35" s="261"/>
    </row>
    <row r="36" spans="1:17" ht="16.5" thickBot="1" x14ac:dyDescent="0.3">
      <c r="A36" s="111" t="s">
        <v>144</v>
      </c>
      <c r="B36" s="111"/>
      <c r="C36" s="111"/>
      <c r="D36" s="111"/>
      <c r="E36" s="116">
        <f t="shared" ref="E36:N36" si="23">SUM(E34:E35)</f>
        <v>270930.67</v>
      </c>
      <c r="F36" s="116">
        <f t="shared" si="23"/>
        <v>258866.9</v>
      </c>
      <c r="G36" s="116">
        <f t="shared" si="23"/>
        <v>243682.97999999998</v>
      </c>
      <c r="H36" s="116">
        <f t="shared" si="23"/>
        <v>232741.75</v>
      </c>
      <c r="I36" s="116">
        <f t="shared" si="23"/>
        <v>227611.59999999998</v>
      </c>
      <c r="J36" s="212">
        <f t="shared" ca="1" si="23"/>
        <v>213925.48943826987</v>
      </c>
      <c r="K36" s="212">
        <f t="shared" ca="1" si="23"/>
        <v>202906.36821951609</v>
      </c>
      <c r="L36" s="212">
        <f t="shared" ca="1" si="23"/>
        <v>188766.8730683178</v>
      </c>
      <c r="M36" s="212">
        <f t="shared" ca="1" si="23"/>
        <v>181001.47339774971</v>
      </c>
      <c r="N36" s="212">
        <f t="shared" ca="1" si="23"/>
        <v>173065.17273106059</v>
      </c>
    </row>
    <row r="37" spans="1:17" ht="16.5" thickTop="1" x14ac:dyDescent="0.25">
      <c r="E37" s="114"/>
      <c r="F37" s="114"/>
      <c r="G37" s="114"/>
      <c r="H37" s="114"/>
      <c r="I37" s="114"/>
      <c r="J37" s="113"/>
      <c r="K37" s="113"/>
      <c r="L37" s="113"/>
      <c r="M37" s="113"/>
      <c r="N37" s="113"/>
    </row>
    <row r="38" spans="1:17" x14ac:dyDescent="0.25">
      <c r="A38" s="104" t="s">
        <v>145</v>
      </c>
      <c r="E38" s="114"/>
      <c r="F38" s="114"/>
      <c r="G38" s="114"/>
      <c r="H38" s="114"/>
      <c r="I38" s="114"/>
      <c r="J38" s="113"/>
      <c r="K38" s="113"/>
      <c r="L38" s="113"/>
      <c r="M38" s="113"/>
      <c r="N38" s="113"/>
    </row>
    <row r="39" spans="1:17" x14ac:dyDescent="0.25">
      <c r="B39" s="96" t="s">
        <v>162</v>
      </c>
      <c r="E39" s="114"/>
      <c r="F39" s="114"/>
      <c r="G39" s="114"/>
      <c r="H39" s="114"/>
      <c r="I39" s="114"/>
      <c r="J39" s="113"/>
      <c r="K39" s="113"/>
      <c r="L39" s="113"/>
      <c r="M39" s="113"/>
      <c r="N39" s="113"/>
    </row>
    <row r="40" spans="1:17" x14ac:dyDescent="0.25">
      <c r="C40" s="96" t="s">
        <v>146</v>
      </c>
      <c r="E40" s="232"/>
      <c r="F40" s="114"/>
      <c r="G40" s="114"/>
      <c r="H40" s="114"/>
      <c r="I40" s="114"/>
      <c r="J40" s="208"/>
      <c r="K40" s="208"/>
      <c r="L40" s="208"/>
      <c r="M40" s="208"/>
      <c r="N40" s="208"/>
    </row>
    <row r="41" spans="1:17" x14ac:dyDescent="0.25">
      <c r="D41" s="97" t="s">
        <v>147</v>
      </c>
      <c r="E41" s="114">
        <v>106023.33</v>
      </c>
      <c r="F41" s="114">
        <v>120739.79</v>
      </c>
      <c r="G41" s="114">
        <v>104206.84</v>
      </c>
      <c r="H41" s="114">
        <v>130892.71</v>
      </c>
      <c r="I41" s="114">
        <v>141196.64000000001</v>
      </c>
      <c r="J41" s="210">
        <f>'Debt Schedule'!J16</f>
        <v>153827.70397614237</v>
      </c>
      <c r="K41" s="210">
        <f>'Debt Schedule'!K16</f>
        <v>165469.43109296251</v>
      </c>
      <c r="L41" s="210">
        <f>'Debt Schedule'!L16</f>
        <v>174427.4729749198</v>
      </c>
      <c r="M41" s="210">
        <f>'Debt Schedule'!M16</f>
        <v>181116.14123384759</v>
      </c>
      <c r="N41" s="210">
        <f>'Debt Schedule'!N16</f>
        <v>186243.781650752</v>
      </c>
      <c r="P41" s="96" t="s">
        <v>284</v>
      </c>
    </row>
    <row r="42" spans="1:17" x14ac:dyDescent="0.25">
      <c r="D42" s="97" t="s">
        <v>148</v>
      </c>
      <c r="E42" s="114">
        <v>314.52</v>
      </c>
      <c r="F42" s="114">
        <v>347.98</v>
      </c>
      <c r="G42" s="114">
        <v>362.47</v>
      </c>
      <c r="H42" s="114">
        <v>1328.23</v>
      </c>
      <c r="I42" s="114">
        <v>1435.27</v>
      </c>
      <c r="J42" s="210">
        <f>'Debt Schedule'!J28</f>
        <v>1396.5963106970471</v>
      </c>
      <c r="K42" s="210">
        <f>'Debt Schedule'!K28</f>
        <v>1354.0552524637988</v>
      </c>
      <c r="L42" s="210">
        <f>'Debt Schedule'!L28</f>
        <v>1307.2600884072258</v>
      </c>
      <c r="M42" s="210">
        <f>'Debt Schedule'!M28</f>
        <v>1255.7854079449955</v>
      </c>
      <c r="N42" s="210">
        <f>'Debt Schedule'!N28</f>
        <v>1199.1632594365421</v>
      </c>
      <c r="P42" s="96" t="s">
        <v>284</v>
      </c>
    </row>
    <row r="43" spans="1:17" x14ac:dyDescent="0.25">
      <c r="D43" s="97" t="s">
        <v>149</v>
      </c>
      <c r="E43" s="114">
        <v>4435.05</v>
      </c>
      <c r="F43" s="114">
        <v>3494.61</v>
      </c>
      <c r="G43" s="114">
        <v>4163.22</v>
      </c>
      <c r="H43" s="114">
        <v>3910.63</v>
      </c>
      <c r="I43" s="114">
        <v>6571.46</v>
      </c>
      <c r="J43" s="210">
        <f>('Data &amp; Assumptions'!J150+'Data &amp; Assumptions'!J156)</f>
        <v>6254.5684356143456</v>
      </c>
      <c r="K43" s="210">
        <f>('Data &amp; Assumptions'!K150+'Data &amp; Assumptions'!K156)</f>
        <v>7067.8279785198001</v>
      </c>
      <c r="L43" s="210">
        <f>('Data &amp; Assumptions'!L150+'Data &amp; Assumptions'!L156)</f>
        <v>9013.4859855339964</v>
      </c>
      <c r="M43" s="210">
        <f>('Data &amp; Assumptions'!M150+'Data &amp; Assumptions'!M156)</f>
        <v>9396.1064947756731</v>
      </c>
      <c r="N43" s="210">
        <f>('Data &amp; Assumptions'!N150+'Data &amp; Assumptions'!N156)</f>
        <v>10265.57246658845</v>
      </c>
      <c r="P43" s="96" t="s">
        <v>205</v>
      </c>
    </row>
    <row r="44" spans="1:17" x14ac:dyDescent="0.25">
      <c r="C44" s="97" t="s">
        <v>150</v>
      </c>
      <c r="E44" s="114">
        <v>5.79</v>
      </c>
      <c r="F44" s="114">
        <v>7.64</v>
      </c>
      <c r="G44" s="114">
        <v>8.1999999999999993</v>
      </c>
      <c r="H44" s="114">
        <v>3.03</v>
      </c>
      <c r="I44" s="114">
        <v>3.55</v>
      </c>
      <c r="J44" s="210">
        <f t="shared" ref="J44:N44" si="24">I44</f>
        <v>3.55</v>
      </c>
      <c r="K44" s="210">
        <f t="shared" si="24"/>
        <v>3.55</v>
      </c>
      <c r="L44" s="210">
        <f t="shared" si="24"/>
        <v>3.55</v>
      </c>
      <c r="M44" s="210">
        <f t="shared" si="24"/>
        <v>3.55</v>
      </c>
      <c r="N44" s="210">
        <f t="shared" si="24"/>
        <v>3.55</v>
      </c>
    </row>
    <row r="45" spans="1:17" x14ac:dyDescent="0.25">
      <c r="C45" s="97" t="s">
        <v>151</v>
      </c>
      <c r="E45" s="114">
        <v>53296.43</v>
      </c>
      <c r="F45" s="114">
        <v>51745.440000000002</v>
      </c>
      <c r="G45" s="114">
        <v>51825.84</v>
      </c>
      <c r="H45" s="114">
        <v>51762.66</v>
      </c>
      <c r="I45" s="114">
        <v>36103.589999999997</v>
      </c>
      <c r="J45" s="210">
        <f t="shared" ref="J45:N45" si="25">I45</f>
        <v>36103.589999999997</v>
      </c>
      <c r="K45" s="210">
        <f t="shared" si="25"/>
        <v>36103.589999999997</v>
      </c>
      <c r="L45" s="210">
        <f t="shared" si="25"/>
        <v>36103.589999999997</v>
      </c>
      <c r="M45" s="210">
        <f t="shared" si="25"/>
        <v>36103.589999999997</v>
      </c>
      <c r="N45" s="210">
        <f t="shared" si="25"/>
        <v>36103.589999999997</v>
      </c>
    </row>
    <row r="46" spans="1:17" x14ac:dyDescent="0.25">
      <c r="C46" s="97" t="s">
        <v>152</v>
      </c>
      <c r="E46" s="114">
        <v>685.26</v>
      </c>
      <c r="F46" s="114">
        <v>560.80999999999995</v>
      </c>
      <c r="G46" s="114">
        <v>600.86</v>
      </c>
      <c r="H46" s="114">
        <v>668.37</v>
      </c>
      <c r="I46" s="114">
        <v>1291.25</v>
      </c>
      <c r="J46" s="210">
        <f>'Data &amp; Assumptions'!J166</f>
        <v>931.89093905693233</v>
      </c>
      <c r="K46" s="210">
        <f>'Data &amp; Assumptions'!K166</f>
        <v>1104.6991994380955</v>
      </c>
      <c r="L46" s="210">
        <f>'Data &amp; Assumptions'!L166</f>
        <v>1459.8855892174015</v>
      </c>
      <c r="M46" s="210">
        <f>'Data &amp; Assumptions'!M166</f>
        <v>1490.3151278463999</v>
      </c>
      <c r="N46" s="210">
        <f>'Data &amp; Assumptions'!N166</f>
        <v>1651.2100145979371</v>
      </c>
      <c r="P46" s="96" t="s">
        <v>254</v>
      </c>
    </row>
    <row r="47" spans="1:17" x14ac:dyDescent="0.25">
      <c r="B47" s="109" t="s">
        <v>165</v>
      </c>
      <c r="C47" s="110"/>
      <c r="D47" s="110"/>
      <c r="E47" s="115">
        <f t="shared" ref="E47:I47" si="26">SUM(E41:E46)</f>
        <v>164760.38</v>
      </c>
      <c r="F47" s="115">
        <f t="shared" si="26"/>
        <v>176896.27</v>
      </c>
      <c r="G47" s="115">
        <f t="shared" si="26"/>
        <v>161167.43</v>
      </c>
      <c r="H47" s="115">
        <f t="shared" si="26"/>
        <v>188565.63</v>
      </c>
      <c r="I47" s="115">
        <f t="shared" si="26"/>
        <v>186601.75999999998</v>
      </c>
      <c r="J47" s="211">
        <f t="shared" ref="J47" si="27">SUM(J41:J46)</f>
        <v>198517.89966151069</v>
      </c>
      <c r="K47" s="211">
        <f t="shared" ref="K47" si="28">SUM(K41:K46)</f>
        <v>211103.15352338419</v>
      </c>
      <c r="L47" s="211">
        <f t="shared" ref="L47" si="29">SUM(L41:L46)</f>
        <v>222315.24463807841</v>
      </c>
      <c r="M47" s="211">
        <f t="shared" ref="M47" si="30">SUM(M41:M46)</f>
        <v>229365.48826441466</v>
      </c>
      <c r="N47" s="211">
        <f t="shared" ref="N47" si="31">SUM(N41:N46)</f>
        <v>235466.86739137495</v>
      </c>
    </row>
    <row r="48" spans="1:17" x14ac:dyDescent="0.25">
      <c r="B48" s="96" t="s">
        <v>163</v>
      </c>
      <c r="E48" s="114"/>
      <c r="F48" s="114"/>
      <c r="G48" s="114"/>
      <c r="H48" s="114"/>
      <c r="I48" s="114"/>
      <c r="J48" s="113"/>
      <c r="K48" s="113"/>
      <c r="L48" s="113"/>
      <c r="M48" s="113"/>
      <c r="N48" s="113"/>
    </row>
    <row r="49" spans="1:16" x14ac:dyDescent="0.25">
      <c r="C49" s="96" t="s">
        <v>146</v>
      </c>
      <c r="E49" s="114"/>
      <c r="F49" s="114"/>
      <c r="G49" s="114"/>
      <c r="H49" s="114"/>
      <c r="I49" s="114"/>
      <c r="J49" s="113"/>
      <c r="K49" s="113"/>
      <c r="L49" s="113"/>
      <c r="M49" s="113"/>
      <c r="N49" s="113"/>
    </row>
    <row r="50" spans="1:16" x14ac:dyDescent="0.25">
      <c r="D50" s="97" t="s">
        <v>147</v>
      </c>
      <c r="E50" s="114">
        <v>199.58</v>
      </c>
      <c r="F50" s="114">
        <v>273.73</v>
      </c>
      <c r="G50" s="114">
        <v>43848.12</v>
      </c>
      <c r="H50" s="114">
        <v>37186.82</v>
      </c>
      <c r="I50" s="114">
        <v>56876.4</v>
      </c>
      <c r="J50" s="210">
        <f>'Debt Schedule'!J18</f>
        <v>65926.158846918159</v>
      </c>
      <c r="K50" s="210">
        <f>'Debt Schedule'!K18</f>
        <v>70915.470468412503</v>
      </c>
      <c r="L50" s="210">
        <f>'Debt Schedule'!L18</f>
        <v>74754.631274965635</v>
      </c>
      <c r="M50" s="210">
        <f>'Debt Schedule'!M18</f>
        <v>77621.203385934685</v>
      </c>
      <c r="N50" s="210">
        <f>'Debt Schedule'!N18</f>
        <v>79818.763564608002</v>
      </c>
      <c r="P50" s="96" t="s">
        <v>284</v>
      </c>
    </row>
    <row r="51" spans="1:16" x14ac:dyDescent="0.25">
      <c r="D51" s="97" t="s">
        <v>148</v>
      </c>
      <c r="E51" s="114">
        <v>20.350000000000001</v>
      </c>
      <c r="F51" s="114">
        <v>0</v>
      </c>
      <c r="G51" s="114">
        <v>0</v>
      </c>
      <c r="H51" s="114">
        <v>184.7</v>
      </c>
      <c r="I51" s="114">
        <v>62.62</v>
      </c>
      <c r="J51" s="210">
        <f>'Debt Schedule'!J30</f>
        <v>60.932689302952816</v>
      </c>
      <c r="K51" s="210">
        <f>'Debt Schedule'!K30</f>
        <v>59.076647536200916</v>
      </c>
      <c r="L51" s="210">
        <f>'Debt Schedule'!L30</f>
        <v>57.035001592773824</v>
      </c>
      <c r="M51" s="210">
        <f>'Debt Schedule'!M30</f>
        <v>54.789191055004025</v>
      </c>
      <c r="N51" s="210">
        <f>'Debt Schedule'!N30</f>
        <v>52.318799463457246</v>
      </c>
      <c r="P51" s="96" t="s">
        <v>284</v>
      </c>
    </row>
    <row r="52" spans="1:16" x14ac:dyDescent="0.25">
      <c r="D52" s="96" t="s">
        <v>197</v>
      </c>
      <c r="E52" s="114">
        <f t="shared" ref="E52:I52" si="32">SUM(E53:E54)</f>
        <v>440.89</v>
      </c>
      <c r="F52" s="114">
        <f t="shared" si="32"/>
        <v>317.11</v>
      </c>
      <c r="G52" s="114">
        <f t="shared" si="32"/>
        <v>473.69</v>
      </c>
      <c r="H52" s="114">
        <f t="shared" si="32"/>
        <v>424.95000000000005</v>
      </c>
      <c r="I52" s="114">
        <f t="shared" si="32"/>
        <v>533.96</v>
      </c>
      <c r="J52" s="210">
        <f>((2*('Data &amp; Assumptions'!J111*'P&amp;L'!J21/365))-BS!I52)</f>
        <v>608.73294484508051</v>
      </c>
      <c r="K52" s="210">
        <f>((2*('Data &amp; Assumptions'!K111*'P&amp;L'!K21/365))-BS!J52)</f>
        <v>689.81475632850652</v>
      </c>
      <c r="L52" s="210">
        <f>((2*('Data &amp; Assumptions'!L111*'P&amp;L'!L21/365))-BS!K52)</f>
        <v>891.98360930146032</v>
      </c>
      <c r="M52" s="210">
        <f>((2*('Data &amp; Assumptions'!M111*'P&amp;L'!M21/365))-BS!L52)</f>
        <v>809.35132026322958</v>
      </c>
      <c r="N52" s="210">
        <f>((2*('Data &amp; Assumptions'!N111*'P&amp;L'!N21/365))-BS!M52)</f>
        <v>1032.0253672329957</v>
      </c>
      <c r="P52" s="96" t="s">
        <v>429</v>
      </c>
    </row>
    <row r="53" spans="1:16" hidden="1" x14ac:dyDescent="0.25">
      <c r="C53" s="117" t="s">
        <v>48</v>
      </c>
      <c r="D53" s="96" t="s">
        <v>154</v>
      </c>
      <c r="E53" s="114">
        <v>48.27</v>
      </c>
      <c r="F53" s="114">
        <v>112.73</v>
      </c>
      <c r="G53" s="114">
        <v>96.31</v>
      </c>
      <c r="H53" s="114">
        <v>77.28</v>
      </c>
      <c r="I53" s="114">
        <v>108.36</v>
      </c>
      <c r="J53" s="210"/>
      <c r="K53" s="210"/>
      <c r="L53" s="210"/>
      <c r="M53" s="210"/>
      <c r="N53" s="210"/>
    </row>
    <row r="54" spans="1:16" ht="31.5" hidden="1" x14ac:dyDescent="0.25">
      <c r="C54" s="117" t="s">
        <v>48</v>
      </c>
      <c r="D54" s="106" t="s">
        <v>155</v>
      </c>
      <c r="E54" s="114">
        <v>392.62</v>
      </c>
      <c r="F54" s="114">
        <v>204.38</v>
      </c>
      <c r="G54" s="114">
        <v>377.38</v>
      </c>
      <c r="H54" s="114">
        <v>347.67</v>
      </c>
      <c r="I54" s="114">
        <v>425.6</v>
      </c>
      <c r="J54" s="210"/>
      <c r="K54" s="210"/>
      <c r="L54" s="210"/>
      <c r="M54" s="210"/>
      <c r="N54" s="210"/>
    </row>
    <row r="55" spans="1:16" x14ac:dyDescent="0.25">
      <c r="D55" s="97" t="s">
        <v>149</v>
      </c>
      <c r="E55" s="114">
        <v>12517.9</v>
      </c>
      <c r="F55" s="114">
        <v>14163.26</v>
      </c>
      <c r="G55" s="114">
        <v>12970.9</v>
      </c>
      <c r="H55" s="114">
        <v>12727.3</v>
      </c>
      <c r="I55" s="114">
        <v>15837.06</v>
      </c>
      <c r="J55" s="210">
        <f>('Data &amp; Assumptions'!J152+'Data &amp; Assumptions'!J158+'Data &amp; Assumptions'!J169)</f>
        <v>18294.83887444617</v>
      </c>
      <c r="K55" s="210">
        <f>('Data &amp; Assumptions'!K152+'Data &amp; Assumptions'!K158+'Data &amp; Assumptions'!K169)</f>
        <v>17916.887577524645</v>
      </c>
      <c r="L55" s="210">
        <f>('Data &amp; Assumptions'!L152+'Data &amp; Assumptions'!L158+'Data &amp; Assumptions'!L169)</f>
        <v>19482.745766395168</v>
      </c>
      <c r="M55" s="210">
        <f>('Data &amp; Assumptions'!M152+'Data &amp; Assumptions'!M158+'Data &amp; Assumptions'!M169)</f>
        <v>20897.133719539604</v>
      </c>
      <c r="N55" s="210">
        <f>('Data &amp; Assumptions'!N152+'Data &amp; Assumptions'!N158+'Data &amp; Assumptions'!N169)</f>
        <v>22041.028194677456</v>
      </c>
      <c r="P55" s="96" t="s">
        <v>205</v>
      </c>
    </row>
    <row r="56" spans="1:16" x14ac:dyDescent="0.25">
      <c r="C56" s="97" t="s">
        <v>150</v>
      </c>
      <c r="E56" s="114">
        <v>1.89</v>
      </c>
      <c r="F56" s="114">
        <v>6.24</v>
      </c>
      <c r="G56" s="114">
        <v>13.05</v>
      </c>
      <c r="H56" s="114">
        <v>16.84</v>
      </c>
      <c r="I56" s="114">
        <v>16.75</v>
      </c>
      <c r="J56" s="210">
        <f t="shared" ref="J56:N56" si="33">I56</f>
        <v>16.75</v>
      </c>
      <c r="K56" s="210">
        <f t="shared" si="33"/>
        <v>16.75</v>
      </c>
      <c r="L56" s="210">
        <f t="shared" si="33"/>
        <v>16.75</v>
      </c>
      <c r="M56" s="210">
        <f t="shared" si="33"/>
        <v>16.75</v>
      </c>
      <c r="N56" s="210">
        <f t="shared" si="33"/>
        <v>16.75</v>
      </c>
    </row>
    <row r="57" spans="1:16" x14ac:dyDescent="0.25">
      <c r="C57" s="97" t="s">
        <v>156</v>
      </c>
      <c r="E57" s="114">
        <v>1872.13</v>
      </c>
      <c r="F57" s="114">
        <v>1355.16</v>
      </c>
      <c r="G57" s="114">
        <v>1849.67</v>
      </c>
      <c r="H57" s="114">
        <v>1783.66</v>
      </c>
      <c r="I57" s="114">
        <v>1862.71</v>
      </c>
      <c r="J57" s="210">
        <f>'Data &amp; Assumptions'!J167</f>
        <v>1937.4090027236723</v>
      </c>
      <c r="K57" s="210">
        <f>'Data &amp; Assumptions'!K167</f>
        <v>2204.7205433232293</v>
      </c>
      <c r="L57" s="210">
        <f>'Data &amp; Assumptions'!L167</f>
        <v>2728.9399525259701</v>
      </c>
      <c r="M57" s="210">
        <f>'Data &amp; Assumptions'!M167</f>
        <v>2947.1873562723472</v>
      </c>
      <c r="N57" s="210">
        <f>'Data &amp; Assumptions'!N167</f>
        <v>3213.1021854652377</v>
      </c>
      <c r="P57" s="96" t="s">
        <v>205</v>
      </c>
    </row>
    <row r="58" spans="1:16" x14ac:dyDescent="0.25">
      <c r="C58" s="97" t="s">
        <v>157</v>
      </c>
      <c r="E58" s="114">
        <v>99.77</v>
      </c>
      <c r="F58" s="114">
        <v>80.12</v>
      </c>
      <c r="G58" s="114">
        <v>111.83</v>
      </c>
      <c r="H58" s="114">
        <v>126.88</v>
      </c>
      <c r="I58" s="114">
        <v>74.81</v>
      </c>
      <c r="J58" s="210">
        <f>'Data &amp; Assumptions'!J171</f>
        <v>130.46302523700513</v>
      </c>
      <c r="K58" s="210">
        <f>'Data &amp; Assumptions'!K171</f>
        <v>141.62867230945835</v>
      </c>
      <c r="L58" s="210">
        <f>'Data &amp; Assumptions'!L171</f>
        <v>158.10251358191024</v>
      </c>
      <c r="M58" s="210">
        <f>'Data &amp; Assumptions'!M171</f>
        <v>185.30823984884285</v>
      </c>
      <c r="N58" s="210">
        <f>'Data &amp; Assumptions'!N171</f>
        <v>197.22036838084867</v>
      </c>
      <c r="P58" s="96" t="s">
        <v>205</v>
      </c>
    </row>
    <row r="59" spans="1:16" x14ac:dyDescent="0.25">
      <c r="B59" s="109" t="s">
        <v>158</v>
      </c>
      <c r="C59" s="110"/>
      <c r="D59" s="110"/>
      <c r="E59" s="115">
        <f>SUM(E50:E52,E55:E58)</f>
        <v>15152.509999999998</v>
      </c>
      <c r="F59" s="115">
        <f t="shared" ref="F59:N59" si="34">SUM(F50:F52,F55:F58)</f>
        <v>16195.62</v>
      </c>
      <c r="G59" s="115">
        <f t="shared" si="34"/>
        <v>59267.260000000009</v>
      </c>
      <c r="H59" s="115">
        <f t="shared" si="34"/>
        <v>52451.149999999987</v>
      </c>
      <c r="I59" s="115">
        <f t="shared" si="34"/>
        <v>75264.310000000012</v>
      </c>
      <c r="J59" s="211">
        <f t="shared" si="34"/>
        <v>86975.285383473034</v>
      </c>
      <c r="K59" s="211">
        <f t="shared" si="34"/>
        <v>91944.348665434532</v>
      </c>
      <c r="L59" s="211">
        <f t="shared" si="34"/>
        <v>98090.188118362901</v>
      </c>
      <c r="M59" s="211">
        <f t="shared" si="34"/>
        <v>102531.72321291373</v>
      </c>
      <c r="N59" s="211">
        <f t="shared" si="34"/>
        <v>106371.208479828</v>
      </c>
    </row>
    <row r="60" spans="1:16" ht="16.5" thickBot="1" x14ac:dyDescent="0.3">
      <c r="A60" s="111" t="s">
        <v>159</v>
      </c>
      <c r="B60" s="112"/>
      <c r="C60" s="112"/>
      <c r="D60" s="112"/>
      <c r="E60" s="116">
        <f t="shared" ref="E60:I60" si="35">E59+E47+E36</f>
        <v>450843.56</v>
      </c>
      <c r="F60" s="116">
        <f t="shared" si="35"/>
        <v>451958.79</v>
      </c>
      <c r="G60" s="116">
        <f t="shared" si="35"/>
        <v>464117.67</v>
      </c>
      <c r="H60" s="116">
        <f t="shared" si="35"/>
        <v>473758.53</v>
      </c>
      <c r="I60" s="116">
        <f t="shared" si="35"/>
        <v>489477.67</v>
      </c>
      <c r="J60" s="212">
        <f t="shared" ref="J60" ca="1" si="36">J59+J47+J36</f>
        <v>499418.67448325362</v>
      </c>
      <c r="K60" s="212">
        <f t="shared" ref="K60" ca="1" si="37">K59+K47+K36</f>
        <v>505953.87040833477</v>
      </c>
      <c r="L60" s="212">
        <f t="shared" ref="L60" ca="1" si="38">L59+L47+L36</f>
        <v>509172.30582475907</v>
      </c>
      <c r="M60" s="212">
        <f t="shared" ref="M60" ca="1" si="39">M59+M47+M36</f>
        <v>512898.68487507809</v>
      </c>
      <c r="N60" s="212">
        <f t="shared" ref="N60" ca="1" si="40">N59+N47+N36</f>
        <v>514903.24860226357</v>
      </c>
    </row>
    <row r="61" spans="1:16" ht="16.5" thickTop="1" x14ac:dyDescent="0.25">
      <c r="E61" s="114"/>
      <c r="F61" s="113"/>
      <c r="G61" s="113"/>
      <c r="H61" s="113"/>
      <c r="I61" s="113"/>
      <c r="J61" s="113"/>
      <c r="K61" s="113"/>
      <c r="L61" s="113"/>
      <c r="M61" s="113"/>
      <c r="N61" s="113"/>
    </row>
    <row r="62" spans="1:16" x14ac:dyDescent="0.25">
      <c r="E62" s="105"/>
      <c r="F62" s="105"/>
      <c r="G62" s="105"/>
      <c r="H62" s="105"/>
      <c r="I62" s="105"/>
    </row>
    <row r="63" spans="1:16" x14ac:dyDescent="0.25">
      <c r="D63" s="107" t="s">
        <v>164</v>
      </c>
      <c r="E63" s="108" t="b">
        <f>ROUND(E60-E30,6)=0</f>
        <v>1</v>
      </c>
      <c r="F63" s="108" t="b">
        <f>ROUND(F60-F30,6)=0</f>
        <v>1</v>
      </c>
      <c r="G63" s="108" t="b">
        <f>ROUND(G60-G30,6)=0</f>
        <v>1</v>
      </c>
      <c r="H63" s="108" t="b">
        <f>ROUND(H60-H30,6)=0</f>
        <v>1</v>
      </c>
      <c r="I63" s="108" t="b">
        <f>ROUND(I60-I30,6)=0</f>
        <v>1</v>
      </c>
      <c r="J63" s="108" t="b">
        <f ca="1">ROUND(J60-J30,1)=0</f>
        <v>1</v>
      </c>
      <c r="K63" s="108" t="b">
        <f ca="1">ROUND(K60-K30,1)=0</f>
        <v>1</v>
      </c>
      <c r="L63" s="108" t="b">
        <f ca="1">ROUND(L60-L30,1)=0</f>
        <v>1</v>
      </c>
      <c r="M63" s="108" t="b">
        <f ca="1">ROUND(M60-M30,1)=0</f>
        <v>1</v>
      </c>
      <c r="N63" s="108" t="b">
        <f ca="1">ROUND(N60-N30,1)=0</f>
        <v>1</v>
      </c>
    </row>
    <row r="64" spans="1:16" x14ac:dyDescent="0.25">
      <c r="J64" s="251">
        <f ca="1">J60-J30</f>
        <v>-9.9999999511055648E-3</v>
      </c>
      <c r="K64" s="251">
        <f ca="1">K60-K30</f>
        <v>-1.0000000067520887E-2</v>
      </c>
      <c r="L64" s="251">
        <f ca="1">L60-L30</f>
        <v>-1.0000000183936208E-2</v>
      </c>
      <c r="M64" s="251">
        <f ca="1">M60-M30</f>
        <v>-1.0000000067520887E-2</v>
      </c>
      <c r="N64" s="251">
        <f ca="1">N60-N30</f>
        <v>-9.9999999511055648E-3</v>
      </c>
    </row>
  </sheetData>
  <pageMargins left="0.7" right="0.7" top="0.75" bottom="0.75" header="0.3" footer="0.3"/>
  <ignoredErrors>
    <ignoredError sqref="E52:I52 E59:N59" formulaRange="1"/>
  </ignoredErrors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1BA39-C6BA-40F2-9778-2D8E3507F0C1}">
  <dimension ref="A1:P191"/>
  <sheetViews>
    <sheetView showGridLines="0" zoomScaleNormal="100" workbookViewId="0">
      <pane xSplit="4" ySplit="2" topLeftCell="F3" activePane="bottomRight" state="frozen"/>
      <selection pane="topRight" activeCell="E1" sqref="E1"/>
      <selection pane="bottomLeft" activeCell="A3" sqref="A3"/>
      <selection pane="bottomRight"/>
    </sheetView>
  </sheetViews>
  <sheetFormatPr defaultRowHeight="15.75" x14ac:dyDescent="0.25"/>
  <cols>
    <col min="1" max="3" width="3.75" customWidth="1"/>
    <col min="4" max="4" width="48.375" customWidth="1"/>
    <col min="5" max="11" width="9.875" bestFit="1" customWidth="1"/>
    <col min="12" max="14" width="10.625" bestFit="1" customWidth="1"/>
    <col min="16" max="16" width="9" style="6"/>
  </cols>
  <sheetData>
    <row r="1" spans="1:16" x14ac:dyDescent="0.25">
      <c r="A1" s="96" t="s">
        <v>25</v>
      </c>
      <c r="B1" s="97"/>
      <c r="C1" s="97"/>
      <c r="D1" s="97"/>
      <c r="E1" s="98" t="s">
        <v>15</v>
      </c>
      <c r="F1" s="99"/>
      <c r="G1" s="99"/>
      <c r="H1" s="99"/>
      <c r="I1" s="99"/>
      <c r="J1" s="100" t="s">
        <v>16</v>
      </c>
      <c r="K1" s="101"/>
      <c r="L1" s="101"/>
      <c r="M1" s="101"/>
      <c r="N1" s="101"/>
    </row>
    <row r="2" spans="1:16" x14ac:dyDescent="0.25">
      <c r="A2" s="97"/>
      <c r="B2" s="97"/>
      <c r="C2" s="97"/>
      <c r="D2" s="97"/>
      <c r="E2" s="102">
        <v>2021</v>
      </c>
      <c r="F2" s="102">
        <v>2022</v>
      </c>
      <c r="G2" s="102">
        <v>2023</v>
      </c>
      <c r="H2" s="102">
        <v>2024</v>
      </c>
      <c r="I2" s="102">
        <v>2025</v>
      </c>
      <c r="J2" s="103">
        <v>2026</v>
      </c>
      <c r="K2" s="103">
        <v>2027</v>
      </c>
      <c r="L2" s="103">
        <v>2028</v>
      </c>
      <c r="M2" s="103">
        <v>2029</v>
      </c>
      <c r="N2" s="103">
        <v>2030</v>
      </c>
    </row>
    <row r="3" spans="1:16" x14ac:dyDescent="0.25">
      <c r="A3" s="1" t="s">
        <v>324</v>
      </c>
    </row>
    <row r="4" spans="1:16" x14ac:dyDescent="0.25">
      <c r="B4" t="s">
        <v>298</v>
      </c>
      <c r="E4" s="221">
        <f>'P&amp;L'!E30</f>
        <v>6544.390000000004</v>
      </c>
      <c r="F4" s="221">
        <f>'P&amp;L'!F30</f>
        <v>8000.2599999999975</v>
      </c>
      <c r="G4" s="221">
        <f>'P&amp;L'!G30</f>
        <v>5840.200000000008</v>
      </c>
      <c r="H4" s="221">
        <f>'P&amp;L'!H30</f>
        <v>9998.6199999999953</v>
      </c>
      <c r="I4" s="221">
        <f>'P&amp;L'!I30</f>
        <v>775.17000000000007</v>
      </c>
      <c r="J4" s="240">
        <f ca="1">'P&amp;L'!J30</f>
        <v>10766.649960395134</v>
      </c>
      <c r="K4" s="240">
        <f ca="1">'P&amp;L'!K30</f>
        <v>14302.051280223943</v>
      </c>
      <c r="L4" s="240">
        <f ca="1">'P&amp;L'!L30</f>
        <v>22762.760871908111</v>
      </c>
      <c r="M4" s="240">
        <f ca="1">'P&amp;L'!M30</f>
        <v>28745.796227527484</v>
      </c>
      <c r="N4" s="240">
        <f ca="1">'P&amp;L'!N30</f>
        <v>32960.815725551183</v>
      </c>
      <c r="P4" s="6" t="s">
        <v>353</v>
      </c>
    </row>
    <row r="5" spans="1:16" x14ac:dyDescent="0.25">
      <c r="B5" s="94" t="s">
        <v>299</v>
      </c>
      <c r="E5" s="221"/>
      <c r="F5" s="221"/>
      <c r="G5" s="221"/>
      <c r="H5" s="221"/>
      <c r="I5" s="221"/>
      <c r="J5" s="240"/>
      <c r="K5" s="240"/>
      <c r="L5" s="240"/>
      <c r="M5" s="240"/>
      <c r="N5" s="240"/>
    </row>
    <row r="6" spans="1:16" x14ac:dyDescent="0.25">
      <c r="C6" t="s">
        <v>300</v>
      </c>
      <c r="E6" s="221">
        <f>'P&amp;L'!E27</f>
        <v>4940.1499999999996</v>
      </c>
      <c r="F6" s="221">
        <f>'P&amp;L'!F27</f>
        <v>5996.08</v>
      </c>
      <c r="G6" s="221">
        <f>'P&amp;L'!G27</f>
        <v>9164.92</v>
      </c>
      <c r="H6" s="221">
        <f>'P&amp;L'!H27</f>
        <v>7572.24</v>
      </c>
      <c r="I6" s="221">
        <f>'P&amp;L'!I27</f>
        <v>9297.9699999999993</v>
      </c>
      <c r="J6" s="240">
        <f>'P&amp;L'!J27</f>
        <v>9477.6842298935535</v>
      </c>
      <c r="K6" s="240">
        <f>'P&amp;L'!K27</f>
        <v>9966.1548449477923</v>
      </c>
      <c r="L6" s="240">
        <f>'P&amp;L'!L27</f>
        <v>10622.427718805286</v>
      </c>
      <c r="M6" s="240">
        <f>'P&amp;L'!M27</f>
        <v>10639.646516052668</v>
      </c>
      <c r="N6" s="240">
        <f>'P&amp;L'!N27</f>
        <v>11040.940925926992</v>
      </c>
      <c r="P6" s="6" t="s">
        <v>354</v>
      </c>
    </row>
    <row r="7" spans="1:16" x14ac:dyDescent="0.25">
      <c r="C7" t="s">
        <v>301</v>
      </c>
      <c r="E7" s="221">
        <f>'P&amp;L'!E28</f>
        <v>766.82</v>
      </c>
      <c r="F7" s="221">
        <f>'P&amp;L'!F28</f>
        <v>1968.55</v>
      </c>
      <c r="G7" s="221">
        <f>'P&amp;L'!G28</f>
        <v>2119.2399999999998</v>
      </c>
      <c r="H7" s="221">
        <f>'P&amp;L'!H28</f>
        <v>2117.65</v>
      </c>
      <c r="I7" s="221">
        <f>'P&amp;L'!I28</f>
        <v>2117.1799999999998</v>
      </c>
      <c r="J7" s="240">
        <f>'P&amp;L'!J28</f>
        <v>2118.343526118007</v>
      </c>
      <c r="K7" s="240">
        <f>'P&amp;L'!K28</f>
        <v>2118.0444090433475</v>
      </c>
      <c r="L7" s="240">
        <f>'P&amp;L'!L28</f>
        <v>2118.1758795396318</v>
      </c>
      <c r="M7" s="240">
        <f>'P&amp;L'!M28</f>
        <v>37.558777891605132</v>
      </c>
      <c r="N7" s="240">
        <f>'P&amp;L'!N28</f>
        <v>1.4441975308654946</v>
      </c>
      <c r="P7" s="6" t="s">
        <v>353</v>
      </c>
    </row>
    <row r="8" spans="1:16" x14ac:dyDescent="0.25">
      <c r="C8" t="s">
        <v>339</v>
      </c>
      <c r="E8" s="222">
        <v>1.1599999999999999</v>
      </c>
      <c r="F8" s="222">
        <v>6.11</v>
      </c>
      <c r="G8" s="222">
        <v>0</v>
      </c>
      <c r="H8" s="222">
        <v>0.73</v>
      </c>
      <c r="I8" s="222">
        <v>1.54</v>
      </c>
      <c r="J8" s="173">
        <v>0</v>
      </c>
      <c r="K8" s="173">
        <v>0</v>
      </c>
      <c r="L8" s="173">
        <v>0</v>
      </c>
      <c r="M8" s="173">
        <v>0</v>
      </c>
      <c r="N8" s="173">
        <v>0</v>
      </c>
    </row>
    <row r="9" spans="1:16" x14ac:dyDescent="0.25">
      <c r="C9" t="s">
        <v>342</v>
      </c>
      <c r="E9" s="222">
        <v>0</v>
      </c>
      <c r="F9" s="222">
        <v>0</v>
      </c>
      <c r="G9" s="222">
        <v>0</v>
      </c>
      <c r="H9" s="222">
        <v>0.81</v>
      </c>
      <c r="I9" s="222">
        <v>7.0000000000000007E-2</v>
      </c>
      <c r="J9" s="173">
        <v>0</v>
      </c>
      <c r="K9" s="173">
        <v>0</v>
      </c>
      <c r="L9" s="173">
        <v>0</v>
      </c>
      <c r="M9" s="173">
        <v>0</v>
      </c>
      <c r="N9" s="173">
        <v>0</v>
      </c>
    </row>
    <row r="10" spans="1:16" x14ac:dyDescent="0.25">
      <c r="C10" t="s">
        <v>344</v>
      </c>
      <c r="E10" s="222">
        <v>61.89</v>
      </c>
      <c r="F10" s="222">
        <v>15.71</v>
      </c>
      <c r="G10" s="222">
        <v>3.28</v>
      </c>
      <c r="H10" s="222">
        <f>-132.85</f>
        <v>-132.85</v>
      </c>
      <c r="I10" s="222">
        <v>0.88</v>
      </c>
      <c r="J10" s="173">
        <v>0</v>
      </c>
      <c r="K10" s="173">
        <v>0</v>
      </c>
      <c r="L10" s="173">
        <v>0</v>
      </c>
      <c r="M10" s="173">
        <v>0</v>
      </c>
      <c r="N10" s="173">
        <v>0</v>
      </c>
    </row>
    <row r="11" spans="1:16" x14ac:dyDescent="0.25">
      <c r="C11" t="s">
        <v>302</v>
      </c>
      <c r="E11" s="222">
        <v>20.83</v>
      </c>
      <c r="F11" s="222">
        <v>2.56</v>
      </c>
      <c r="G11" s="222">
        <v>2.19</v>
      </c>
      <c r="H11" s="222">
        <v>6.84</v>
      </c>
      <c r="I11" s="222">
        <v>0</v>
      </c>
      <c r="J11" s="240">
        <f t="shared" ref="J11:N11" si="0">I11</f>
        <v>0</v>
      </c>
      <c r="K11" s="240">
        <f t="shared" si="0"/>
        <v>0</v>
      </c>
      <c r="L11" s="240">
        <f t="shared" si="0"/>
        <v>0</v>
      </c>
      <c r="M11" s="240">
        <f t="shared" si="0"/>
        <v>0</v>
      </c>
      <c r="N11" s="240">
        <f t="shared" si="0"/>
        <v>0</v>
      </c>
    </row>
    <row r="12" spans="1:16" x14ac:dyDescent="0.25">
      <c r="C12" t="s">
        <v>303</v>
      </c>
      <c r="E12" s="222">
        <f>-4.68</f>
        <v>-4.68</v>
      </c>
      <c r="F12" s="222">
        <f>-128.84</f>
        <v>-128.84</v>
      </c>
      <c r="G12" s="222">
        <f>-11.97</f>
        <v>-11.97</v>
      </c>
      <c r="H12" s="222">
        <f>-84.38</f>
        <v>-84.38</v>
      </c>
      <c r="I12" s="222">
        <f>-22.28</f>
        <v>-22.28</v>
      </c>
      <c r="J12" s="240">
        <v>0</v>
      </c>
      <c r="K12" s="240">
        <v>0</v>
      </c>
      <c r="L12" s="240">
        <v>0</v>
      </c>
      <c r="M12" s="240">
        <v>0</v>
      </c>
      <c r="N12" s="240">
        <v>0</v>
      </c>
    </row>
    <row r="13" spans="1:16" x14ac:dyDescent="0.25">
      <c r="C13" t="s">
        <v>304</v>
      </c>
      <c r="E13" s="222">
        <f>-154.11</f>
        <v>-154.11000000000001</v>
      </c>
      <c r="F13" s="222">
        <f>-140.82</f>
        <v>-140.82</v>
      </c>
      <c r="G13" s="222">
        <f>-143.79</f>
        <v>-143.79</v>
      </c>
      <c r="H13" s="222">
        <f>-159.04</f>
        <v>-159.04</v>
      </c>
      <c r="I13" s="222">
        <f>-131.33</f>
        <v>-131.33000000000001</v>
      </c>
      <c r="J13" s="240">
        <v>0</v>
      </c>
      <c r="K13" s="240">
        <v>0</v>
      </c>
      <c r="L13" s="240">
        <v>0</v>
      </c>
      <c r="M13" s="240">
        <v>0</v>
      </c>
      <c r="N13" s="240">
        <v>0</v>
      </c>
    </row>
    <row r="14" spans="1:16" x14ac:dyDescent="0.25">
      <c r="C14" t="s">
        <v>305</v>
      </c>
      <c r="E14" s="221">
        <f>'P&amp;L'!E26</f>
        <v>6452.89</v>
      </c>
      <c r="F14" s="221">
        <f>'P&amp;L'!F26</f>
        <v>8285.2800000000007</v>
      </c>
      <c r="G14" s="221">
        <f>'P&amp;L'!G26</f>
        <v>9760.6299999999992</v>
      </c>
      <c r="H14" s="221">
        <f>'P&amp;L'!H26</f>
        <v>10872.35</v>
      </c>
      <c r="I14" s="221">
        <f>'P&amp;L'!I26</f>
        <v>13286.25</v>
      </c>
      <c r="J14" s="240">
        <f>'P&amp;L'!J26</f>
        <v>14059.277686235662</v>
      </c>
      <c r="K14" s="240">
        <f>'P&amp;L'!K26</f>
        <v>15447.900565292884</v>
      </c>
      <c r="L14" s="240">
        <f>'P&amp;L'!L26</f>
        <v>16626.385892428425</v>
      </c>
      <c r="M14" s="240">
        <f>'P&amp;L'!M26</f>
        <v>17782.389224540882</v>
      </c>
      <c r="N14" s="240">
        <f>'P&amp;L'!N26</f>
        <v>19017.747834363963</v>
      </c>
      <c r="P14" s="6" t="s">
        <v>353</v>
      </c>
    </row>
    <row r="15" spans="1:16" x14ac:dyDescent="0.25">
      <c r="C15" t="s">
        <v>1</v>
      </c>
      <c r="E15" s="222">
        <f>-871.2</f>
        <v>-871.2</v>
      </c>
      <c r="F15" s="221">
        <f>-'P&amp;L'!F5</f>
        <v>-899.81</v>
      </c>
      <c r="G15" s="221">
        <f>-'P&amp;L'!G5</f>
        <v>-1123.3699999999999</v>
      </c>
      <c r="H15" s="221">
        <f>-'P&amp;L'!H5</f>
        <v>-1305.5999999999999</v>
      </c>
      <c r="I15" s="221">
        <f>-'P&amp;L'!I5</f>
        <v>-876.86</v>
      </c>
      <c r="J15" s="240">
        <f ca="1">-'P&amp;L'!J5</f>
        <v>-1342.6443123722056</v>
      </c>
      <c r="K15" s="240">
        <f ca="1">-'P&amp;L'!K5</f>
        <v>-1914.5334264257483</v>
      </c>
      <c r="L15" s="240">
        <f ca="1">-'P&amp;L'!L5</f>
        <v>-2948.1546627710254</v>
      </c>
      <c r="M15" s="240">
        <f ca="1">-'P&amp;L'!M5</f>
        <v>-3960.4778608318306</v>
      </c>
      <c r="N15" s="240">
        <f ca="1">-'P&amp;L'!N5</f>
        <v>-5093.7665210045207</v>
      </c>
      <c r="P15" s="6" t="s">
        <v>354</v>
      </c>
    </row>
    <row r="16" spans="1:16" x14ac:dyDescent="0.25">
      <c r="C16" t="s">
        <v>343</v>
      </c>
      <c r="E16" s="222">
        <v>0</v>
      </c>
      <c r="F16" s="222">
        <v>0</v>
      </c>
      <c r="G16" s="222">
        <v>0</v>
      </c>
      <c r="H16" s="222">
        <f>-54.13</f>
        <v>-54.13</v>
      </c>
      <c r="I16" s="222">
        <f>-5.17</f>
        <v>-5.17</v>
      </c>
      <c r="J16" s="173">
        <v>0</v>
      </c>
      <c r="K16" s="173">
        <v>0</v>
      </c>
      <c r="L16" s="173">
        <v>0</v>
      </c>
      <c r="M16" s="173">
        <v>0</v>
      </c>
      <c r="N16" s="173">
        <v>0</v>
      </c>
    </row>
    <row r="17" spans="1:16" x14ac:dyDescent="0.25">
      <c r="C17" t="s">
        <v>306</v>
      </c>
      <c r="E17" s="222">
        <v>3</v>
      </c>
      <c r="F17" s="222">
        <v>0</v>
      </c>
      <c r="G17" s="222">
        <v>0</v>
      </c>
      <c r="H17" s="222">
        <v>0</v>
      </c>
      <c r="I17" s="222">
        <v>0</v>
      </c>
      <c r="J17" s="240">
        <f t="shared" ref="J17:N17" si="1">I17</f>
        <v>0</v>
      </c>
      <c r="K17" s="240">
        <f t="shared" si="1"/>
        <v>0</v>
      </c>
      <c r="L17" s="240">
        <f t="shared" si="1"/>
        <v>0</v>
      </c>
      <c r="M17" s="240">
        <f t="shared" si="1"/>
        <v>0</v>
      </c>
      <c r="N17" s="240">
        <f t="shared" si="1"/>
        <v>0</v>
      </c>
    </row>
    <row r="18" spans="1:16" x14ac:dyDescent="0.25">
      <c r="C18" t="s">
        <v>307</v>
      </c>
      <c r="E18" s="221">
        <f>'P&amp;L'!E29</f>
        <v>988.96</v>
      </c>
      <c r="F18" s="221">
        <v>0</v>
      </c>
      <c r="G18" s="221">
        <f>'P&amp;L'!G29</f>
        <v>0</v>
      </c>
      <c r="H18" s="221">
        <f>'P&amp;L'!H29</f>
        <v>-836.75</v>
      </c>
      <c r="I18" s="221">
        <f>'P&amp;L'!I29</f>
        <v>6410.93</v>
      </c>
      <c r="J18" s="240">
        <f>'P&amp;L'!J29</f>
        <v>0</v>
      </c>
      <c r="K18" s="240">
        <f>'P&amp;L'!K29</f>
        <v>0</v>
      </c>
      <c r="L18" s="240">
        <f>'P&amp;L'!L29</f>
        <v>0</v>
      </c>
      <c r="M18" s="240">
        <f>'P&amp;L'!M29</f>
        <v>0</v>
      </c>
      <c r="N18" s="240">
        <f>'P&amp;L'!N29</f>
        <v>0</v>
      </c>
      <c r="P18" s="6" t="s">
        <v>353</v>
      </c>
    </row>
    <row r="19" spans="1:16" x14ac:dyDescent="0.25">
      <c r="B19" s="4" t="s">
        <v>308</v>
      </c>
      <c r="C19" s="4"/>
      <c r="D19" s="4"/>
      <c r="E19" s="245">
        <f t="shared" ref="E19:N19" si="2">SUM(E4:E18)</f>
        <v>18750.100000000002</v>
      </c>
      <c r="F19" s="245">
        <f t="shared" si="2"/>
        <v>23105.079999999994</v>
      </c>
      <c r="G19" s="245">
        <f t="shared" si="2"/>
        <v>25611.330000000005</v>
      </c>
      <c r="H19" s="245">
        <f t="shared" si="2"/>
        <v>27996.489999999994</v>
      </c>
      <c r="I19" s="245">
        <f t="shared" si="2"/>
        <v>30854.35</v>
      </c>
      <c r="J19" s="248">
        <f t="shared" ca="1" si="2"/>
        <v>35079.311090270152</v>
      </c>
      <c r="K19" s="248">
        <f t="shared" ca="1" si="2"/>
        <v>39919.617673082219</v>
      </c>
      <c r="L19" s="248">
        <f t="shared" ca="1" si="2"/>
        <v>49181.595699910431</v>
      </c>
      <c r="M19" s="248">
        <f t="shared" ca="1" si="2"/>
        <v>53244.912885180805</v>
      </c>
      <c r="N19" s="248">
        <f t="shared" ca="1" si="2"/>
        <v>57927.182162368481</v>
      </c>
    </row>
    <row r="20" spans="1:16" x14ac:dyDescent="0.25">
      <c r="B20" s="94" t="s">
        <v>309</v>
      </c>
      <c r="E20" s="221"/>
      <c r="F20" s="221"/>
      <c r="G20" s="221"/>
      <c r="H20" s="221"/>
      <c r="I20" s="221"/>
      <c r="J20" s="221"/>
      <c r="K20" s="221"/>
      <c r="L20" s="221"/>
      <c r="M20" s="221"/>
      <c r="N20" s="221"/>
    </row>
    <row r="21" spans="1:16" x14ac:dyDescent="0.25">
      <c r="C21" t="s">
        <v>132</v>
      </c>
      <c r="E21" s="222">
        <v>2.02</v>
      </c>
      <c r="F21" s="221">
        <f>BS!E20-BS!F20</f>
        <v>-0.28999999999999915</v>
      </c>
      <c r="G21" s="221">
        <f>BS!F20-BS!G20</f>
        <v>-24.8</v>
      </c>
      <c r="H21" s="221">
        <f>BS!G20-BS!H20</f>
        <v>-15.019999999999996</v>
      </c>
      <c r="I21" s="222">
        <v>10.44</v>
      </c>
      <c r="J21" s="240">
        <f>BS!I20-BS!J20</f>
        <v>-12.946407224256433</v>
      </c>
      <c r="K21" s="240">
        <f>BS!J20-BS!K20</f>
        <v>1.6568867146460775E-2</v>
      </c>
      <c r="L21" s="240">
        <f>BS!K20-BS!L20</f>
        <v>-34.304015379631409</v>
      </c>
      <c r="M21" s="240">
        <f>BS!L20-BS!M20</f>
        <v>21.960794114933407</v>
      </c>
      <c r="N21" s="240">
        <f>BS!M20-BS!N20</f>
        <v>-23.14060614412935</v>
      </c>
      <c r="P21" s="6" t="s">
        <v>355</v>
      </c>
    </row>
    <row r="22" spans="1:16" x14ac:dyDescent="0.25">
      <c r="C22" s="17" t="s">
        <v>133</v>
      </c>
      <c r="D22" s="17"/>
      <c r="E22" s="222">
        <f>-167.57</f>
        <v>-167.57</v>
      </c>
      <c r="F22" s="222">
        <f>-96.32</f>
        <v>-96.32</v>
      </c>
      <c r="G22" s="222">
        <v>147.03</v>
      </c>
      <c r="H22" s="222">
        <v>203.45</v>
      </c>
      <c r="I22" s="222">
        <f>-408.56</f>
        <v>-408.56</v>
      </c>
      <c r="J22" s="240">
        <f>BS!I23-BS!J23</f>
        <v>353.69532777863924</v>
      </c>
      <c r="K22" s="240">
        <f>BS!J23-BS!K23</f>
        <v>-616.7095408682253</v>
      </c>
      <c r="L22" s="240">
        <f>BS!K23-BS!L23</f>
        <v>315.22895594124202</v>
      </c>
      <c r="M22" s="240">
        <f>BS!L23-BS!M23</f>
        <v>-493.65979556194043</v>
      </c>
      <c r="N22" s="240">
        <f>BS!M23-BS!N23</f>
        <v>333.45828358867584</v>
      </c>
      <c r="P22" s="6" t="s">
        <v>355</v>
      </c>
    </row>
    <row r="23" spans="1:16" x14ac:dyDescent="0.25">
      <c r="C23" s="17" t="s">
        <v>310</v>
      </c>
      <c r="D23" s="17"/>
      <c r="E23" s="222">
        <f>-229.51</f>
        <v>-229.51</v>
      </c>
      <c r="F23" s="222">
        <v>4049.37</v>
      </c>
      <c r="G23" s="222">
        <v>534.58000000000004</v>
      </c>
      <c r="H23" s="222">
        <f>-266.05</f>
        <v>-266.05</v>
      </c>
      <c r="I23" s="222">
        <f>-65.97</f>
        <v>-65.97</v>
      </c>
      <c r="J23" s="240">
        <f>(BS!I14+BS!I26)-(BS!J14+BS!J26)</f>
        <v>-1009.884</v>
      </c>
      <c r="K23" s="240">
        <f>(BS!J14+BS!J26)-(BS!K14+BS!K26)</f>
        <v>-1152.1214999999993</v>
      </c>
      <c r="L23" s="240">
        <f>(BS!K14+BS!K26)-(BS!L14+BS!L26)</f>
        <v>-1315.2323699999997</v>
      </c>
      <c r="M23" s="240">
        <f>(BS!L14+BS!L26)-(BS!M14+BS!M26)</f>
        <v>-1502.3245027499979</v>
      </c>
      <c r="N23" s="240">
        <f>(BS!M14+BS!M26)-(BS!N14+BS!N26)</f>
        <v>-1716.9708192749986</v>
      </c>
      <c r="P23" s="6" t="s">
        <v>355</v>
      </c>
    </row>
    <row r="24" spans="1:16" x14ac:dyDescent="0.25">
      <c r="C24" s="17" t="s">
        <v>311</v>
      </c>
      <c r="D24" s="17"/>
      <c r="E24" s="222">
        <v>134.16999999999999</v>
      </c>
      <c r="F24" s="222">
        <f>-100.61</f>
        <v>-100.61</v>
      </c>
      <c r="G24" s="222">
        <f>-217.3</f>
        <v>-217.3</v>
      </c>
      <c r="H24" s="222">
        <f>-313.37</f>
        <v>-313.37</v>
      </c>
      <c r="I24" s="222">
        <f>-706.59</f>
        <v>-706.59</v>
      </c>
      <c r="J24" s="240">
        <f>(BS!I16+BS!I17+BS!I28)-(BS!J16+BS!J17+BS!J28)</f>
        <v>803.17314957093913</v>
      </c>
      <c r="K24" s="240">
        <f>(BS!J16+BS!J17+BS!J28)-(BS!K16+BS!K17+BS!K28)</f>
        <v>160.22068563932953</v>
      </c>
      <c r="L24" s="240">
        <f>(BS!K16+BS!K17+BS!K28)-(BS!L16+BS!L17+BS!L28)</f>
        <v>-189.72015376364561</v>
      </c>
      <c r="M24" s="240">
        <f>(BS!L16+BS!L17+BS!L28)-(BS!M16+BS!M17+BS!M28)</f>
        <v>-75.872615260453586</v>
      </c>
      <c r="N24" s="240">
        <f>(BS!M16+BS!M17+BS!M28)-(BS!N16+BS!N17+BS!N28)</f>
        <v>-259.38936757463352</v>
      </c>
      <c r="P24" s="6" t="s">
        <v>355</v>
      </c>
    </row>
    <row r="25" spans="1:16" x14ac:dyDescent="0.25">
      <c r="C25" s="17" t="s">
        <v>153</v>
      </c>
      <c r="D25" s="17"/>
      <c r="E25" s="222">
        <v>177.28</v>
      </c>
      <c r="F25" s="222">
        <f>-77.89</f>
        <v>-77.89</v>
      </c>
      <c r="G25" s="222">
        <v>168.55</v>
      </c>
      <c r="H25" s="222">
        <v>35.64</v>
      </c>
      <c r="I25" s="222">
        <v>101.6</v>
      </c>
      <c r="J25" s="240">
        <f>BS!J52-BS!I52</f>
        <v>74.772944845080474</v>
      </c>
      <c r="K25" s="240">
        <f>BS!K52-BS!J52</f>
        <v>81.081811483426009</v>
      </c>
      <c r="L25" s="240">
        <f>BS!L52-BS!K52</f>
        <v>202.1688529729538</v>
      </c>
      <c r="M25" s="240">
        <f>BS!M52-BS!L52</f>
        <v>-82.632289038230738</v>
      </c>
      <c r="N25" s="240">
        <f>BS!N52-BS!M52</f>
        <v>222.6740469697661</v>
      </c>
      <c r="P25" s="6" t="s">
        <v>355</v>
      </c>
    </row>
    <row r="26" spans="1:16" x14ac:dyDescent="0.25">
      <c r="C26" t="s">
        <v>312</v>
      </c>
      <c r="E26" s="222">
        <f>-216.6</f>
        <v>-216.6</v>
      </c>
      <c r="F26" s="222">
        <f>-857.82</f>
        <v>-857.82</v>
      </c>
      <c r="G26" s="222">
        <v>297.89999999999998</v>
      </c>
      <c r="H26" s="222">
        <f>-711.29</f>
        <v>-711.29</v>
      </c>
      <c r="I26" s="222">
        <v>1803.41</v>
      </c>
      <c r="J26" s="240">
        <f>(BS!J43+BS!J55)-(BS!I43+BS!I55)</f>
        <v>2140.887310060516</v>
      </c>
      <c r="K26" s="240">
        <f>(BS!K43+BS!K55)-(BS!J43+BS!J55)</f>
        <v>435.30824598392792</v>
      </c>
      <c r="L26" s="240">
        <f>(BS!L43+BS!L55)-(BS!K43+BS!K55)</f>
        <v>3511.5161958847202</v>
      </c>
      <c r="M26" s="240">
        <f>(BS!M43+BS!M55)-(BS!L43+BS!L55)</f>
        <v>1797.0084623861148</v>
      </c>
      <c r="N26" s="240">
        <f>(BS!N43+BS!N55)-(BS!M43+BS!M55)</f>
        <v>2013.3604469506245</v>
      </c>
      <c r="P26" s="6" t="s">
        <v>355</v>
      </c>
    </row>
    <row r="27" spans="1:16" x14ac:dyDescent="0.25">
      <c r="C27" t="s">
        <v>313</v>
      </c>
      <c r="E27" s="222">
        <v>811.6</v>
      </c>
      <c r="F27" s="222">
        <f>-635.22</f>
        <v>-635.22</v>
      </c>
      <c r="G27" s="222">
        <v>395.04</v>
      </c>
      <c r="H27" s="222">
        <v>6.86</v>
      </c>
      <c r="I27" s="222">
        <v>594.20000000000005</v>
      </c>
      <c r="J27" s="240">
        <f>(BS!J44+BS!J46+BS!J56+BS!J57+BS!J58)-(BS!I44+BS!I46+BS!I56+BS!I57+BS!I58)</f>
        <v>-229.00703298239023</v>
      </c>
      <c r="K27" s="240">
        <f>(BS!K44+BS!K46+BS!K56+BS!K57+BS!K58)-(BS!J44+BS!J46+BS!J56+BS!J57+BS!J58)</f>
        <v>451.28544805317279</v>
      </c>
      <c r="L27" s="240">
        <f>(BS!L44+BS!L46+BS!L56+BS!L57+BS!L58)-(BS!K44+BS!K46+BS!K56+BS!K57+BS!K58)</f>
        <v>895.87964025449855</v>
      </c>
      <c r="M27" s="240">
        <f>(BS!M44+BS!M46+BS!M56+BS!M57+BS!M58)-(BS!L44+BS!L46+BS!L56+BS!L57+BS!L58)</f>
        <v>275.882668642309</v>
      </c>
      <c r="N27" s="240">
        <f>(BS!N44+BS!N46+BS!N56+BS!N57+BS!N58)-(BS!M44+BS!M46+BS!M56+BS!M57+BS!M58)</f>
        <v>438.72184447643303</v>
      </c>
      <c r="P27" s="6" t="s">
        <v>355</v>
      </c>
    </row>
    <row r="28" spans="1:16" x14ac:dyDescent="0.25">
      <c r="B28" s="4" t="s">
        <v>314</v>
      </c>
      <c r="C28" s="4"/>
      <c r="D28" s="4"/>
      <c r="E28" s="245">
        <f t="shared" ref="E28:J28" si="3">E19+SUM(E21:E27)</f>
        <v>19261.490000000002</v>
      </c>
      <c r="F28" s="245">
        <f t="shared" si="3"/>
        <v>25386.299999999996</v>
      </c>
      <c r="G28" s="245">
        <f t="shared" si="3"/>
        <v>26912.330000000005</v>
      </c>
      <c r="H28" s="245">
        <f t="shared" si="3"/>
        <v>26936.709999999995</v>
      </c>
      <c r="I28" s="245">
        <f t="shared" si="3"/>
        <v>32182.879999999997</v>
      </c>
      <c r="J28" s="248">
        <f t="shared" ca="1" si="3"/>
        <v>37200.002382318678</v>
      </c>
      <c r="K28" s="248">
        <f t="shared" ref="K28" ca="1" si="4">K19+SUM(K21:K27)</f>
        <v>39278.699392240997</v>
      </c>
      <c r="L28" s="248">
        <f t="shared" ref="L28" ca="1" si="5">L19+SUM(L21:L27)</f>
        <v>52567.132805820569</v>
      </c>
      <c r="M28" s="248">
        <f t="shared" ref="M28" ca="1" si="6">M19+SUM(M21:M27)</f>
        <v>53185.275607713542</v>
      </c>
      <c r="N28" s="248">
        <f t="shared" ref="N28" ca="1" si="7">N19+SUM(N21:N27)</f>
        <v>58935.895991360216</v>
      </c>
    </row>
    <row r="29" spans="1:16" x14ac:dyDescent="0.25">
      <c r="C29" t="s">
        <v>315</v>
      </c>
      <c r="E29" s="222">
        <f>-556.54</f>
        <v>-556.54</v>
      </c>
      <c r="F29" s="222">
        <f>-1716.56</f>
        <v>-1716.56</v>
      </c>
      <c r="G29" s="222">
        <f>-1257.23</f>
        <v>-1257.23</v>
      </c>
      <c r="H29" s="222">
        <f>-1027.75</f>
        <v>-1027.75</v>
      </c>
      <c r="I29" s="222">
        <f>-1389.69</f>
        <v>-1389.69</v>
      </c>
      <c r="J29" s="240">
        <f>-'P&amp;L'!J33</f>
        <v>-1893.5563152294433</v>
      </c>
      <c r="K29" s="240">
        <f>-'P&amp;L'!K33</f>
        <v>-2099.3409563768932</v>
      </c>
      <c r="L29" s="240">
        <f>-'P&amp;L'!L33</f>
        <v>-2620.6882834987919</v>
      </c>
      <c r="M29" s="240">
        <f>-'P&amp;L'!M33</f>
        <v>-2826.394313618237</v>
      </c>
      <c r="N29" s="240">
        <f>-'P&amp;L'!N33</f>
        <v>-3059.9652724151797</v>
      </c>
      <c r="P29" s="6" t="s">
        <v>353</v>
      </c>
    </row>
    <row r="30" spans="1:16" ht="16.5" thickBot="1" x14ac:dyDescent="0.3">
      <c r="A30" s="11" t="s">
        <v>316</v>
      </c>
      <c r="B30" s="246"/>
      <c r="C30" s="11"/>
      <c r="D30" s="11"/>
      <c r="E30" s="247">
        <f t="shared" ref="E30:N30" si="8">E28+E29</f>
        <v>18704.95</v>
      </c>
      <c r="F30" s="247">
        <f t="shared" si="8"/>
        <v>23669.739999999994</v>
      </c>
      <c r="G30" s="247">
        <f t="shared" si="8"/>
        <v>25655.100000000006</v>
      </c>
      <c r="H30" s="247">
        <f t="shared" si="8"/>
        <v>25908.959999999995</v>
      </c>
      <c r="I30" s="247">
        <f t="shared" si="8"/>
        <v>30793.19</v>
      </c>
      <c r="J30" s="249">
        <f t="shared" ca="1" si="8"/>
        <v>35306.446067089237</v>
      </c>
      <c r="K30" s="249">
        <f t="shared" ca="1" si="8"/>
        <v>37179.358435864102</v>
      </c>
      <c r="L30" s="249">
        <f t="shared" ca="1" si="8"/>
        <v>49946.444522321777</v>
      </c>
      <c r="M30" s="249">
        <f t="shared" ca="1" si="8"/>
        <v>50358.881294095307</v>
      </c>
      <c r="N30" s="249">
        <f t="shared" ca="1" si="8"/>
        <v>55875.930718945034</v>
      </c>
    </row>
    <row r="31" spans="1:16" ht="16.5" thickTop="1" x14ac:dyDescent="0.25">
      <c r="E31" s="263"/>
      <c r="F31" s="263"/>
      <c r="G31" s="263"/>
      <c r="H31" s="263"/>
      <c r="I31" s="263"/>
      <c r="J31" s="221"/>
      <c r="K31" s="221"/>
      <c r="L31" s="221"/>
      <c r="M31" s="221"/>
      <c r="N31" s="221"/>
    </row>
    <row r="32" spans="1:16" x14ac:dyDescent="0.25">
      <c r="A32" s="1" t="s">
        <v>323</v>
      </c>
      <c r="E32" s="223"/>
      <c r="F32" s="223"/>
      <c r="G32" s="223"/>
      <c r="H32" s="223"/>
      <c r="I32" s="223"/>
      <c r="J32" s="221"/>
      <c r="K32" s="221"/>
      <c r="L32" s="221"/>
      <c r="M32" s="221"/>
      <c r="N32" s="221"/>
    </row>
    <row r="33" spans="1:16" x14ac:dyDescent="0.25">
      <c r="B33" t="s">
        <v>317</v>
      </c>
      <c r="E33" s="222">
        <v>552.30999999999995</v>
      </c>
      <c r="F33" s="222">
        <v>518.97</v>
      </c>
      <c r="G33" s="222">
        <f>-170.86</f>
        <v>-170.86</v>
      </c>
      <c r="H33" s="222">
        <v>358.15</v>
      </c>
      <c r="I33" s="222">
        <f>-459.77</f>
        <v>-459.77</v>
      </c>
      <c r="J33" s="240">
        <f>BS!I25-BS!J25</f>
        <v>-9.4976000000000056</v>
      </c>
      <c r="K33" s="240">
        <f>BS!J25-BS!K25</f>
        <v>-10.162432000000024</v>
      </c>
      <c r="L33" s="240">
        <f>BS!K25-BS!L25</f>
        <v>-10.873802240000003</v>
      </c>
      <c r="M33" s="240">
        <f>BS!L25-BS!M25</f>
        <v>-11.634968396800019</v>
      </c>
      <c r="N33" s="240">
        <f>BS!M25-BS!N25</f>
        <v>-12.449416184576023</v>
      </c>
      <c r="P33" s="6" t="s">
        <v>355</v>
      </c>
    </row>
    <row r="34" spans="1:16" x14ac:dyDescent="0.25">
      <c r="B34" t="s">
        <v>318</v>
      </c>
      <c r="E34" s="222">
        <v>11700.32</v>
      </c>
      <c r="F34" s="222">
        <v>140.82</v>
      </c>
      <c r="G34" s="222">
        <v>143.79</v>
      </c>
      <c r="H34" s="222">
        <v>128.91</v>
      </c>
      <c r="I34" s="222">
        <v>29.15</v>
      </c>
      <c r="J34" s="240">
        <f>BS!I22-'Data &amp; Assumptions'!J140</f>
        <v>-8.9361999999999853</v>
      </c>
      <c r="K34" s="240">
        <f ca="1">BS!J22-'Data &amp; Assumptions'!K140</f>
        <v>-9.5170530000000326</v>
      </c>
      <c r="L34" s="240">
        <f ca="1">BS!K22-'Data &amp; Assumptions'!L140</f>
        <v>1868.6271065250962</v>
      </c>
      <c r="M34" s="240">
        <f ca="1">BS!L22-'Data &amp; Assumptions'!M140</f>
        <v>9590.6617483745795</v>
      </c>
      <c r="N34" s="240">
        <f ca="1">BS!M22-'Data &amp; Assumptions'!N140</f>
        <v>17240.414830379726</v>
      </c>
      <c r="P34" s="6" t="s">
        <v>355</v>
      </c>
    </row>
    <row r="35" spans="1:16" x14ac:dyDescent="0.25">
      <c r="B35" t="s">
        <v>431</v>
      </c>
      <c r="E35" s="222">
        <v>0</v>
      </c>
      <c r="F35" s="222">
        <v>0</v>
      </c>
      <c r="G35" s="222">
        <f>-9500</f>
        <v>-9500</v>
      </c>
      <c r="H35" s="222">
        <v>0</v>
      </c>
      <c r="I35" s="222">
        <f>-1800</f>
        <v>-1800</v>
      </c>
      <c r="J35" s="173">
        <f ca="1">-MAX(0,J59+J30+J33+J34+J36+J37+J38+J39+J40+J41+J42+J43+J44+J45+J57+J60-12000)</f>
        <v>0</v>
      </c>
      <c r="K35" s="173">
        <f ca="1">-MAX(0,K59+K30+K33+K34+K36+K37+K38+K39+K40+K41+K42+K43+K44+K45+K57+K60-12000)</f>
        <v>-1878.7627679700963</v>
      </c>
      <c r="L35" s="173">
        <f ca="1">-MAX(0,L59+L30+L33+L34+L36+L37+L38+L39+L40+L41+L42+L43+L44+L45+L57+L60-12000)</f>
        <v>-9601.4562278134908</v>
      </c>
      <c r="M35" s="173">
        <f ca="1">-MAX(0,M59+M30+M33+M34+M36+M37+M38+M39+M40+M41+M42+M43+M44+M45+M57+M60-12000)</f>
        <v>-17251.910950982179</v>
      </c>
      <c r="N35" s="173">
        <f ca="1">-MAX(0,N59+N30+N33+N34+N36+N37+N38+N39+N40+N41+N42+N43+N44+N45+N57+N60-12000)</f>
        <v>-25886.315783341452</v>
      </c>
    </row>
    <row r="36" spans="1:16" x14ac:dyDescent="0.25">
      <c r="B36" t="s">
        <v>345</v>
      </c>
      <c r="E36" s="222">
        <v>724.38</v>
      </c>
      <c r="F36" s="222">
        <v>0</v>
      </c>
      <c r="G36" s="222">
        <v>1342.17</v>
      </c>
      <c r="H36" s="222">
        <v>1457.83</v>
      </c>
      <c r="I36" s="222">
        <v>1144.03</v>
      </c>
      <c r="J36" s="240">
        <f>'Data &amp; Assumptions'!J133</f>
        <v>750</v>
      </c>
      <c r="K36" s="240">
        <f>'Data &amp; Assumptions'!K133</f>
        <v>750</v>
      </c>
      <c r="L36" s="240">
        <f>'Data &amp; Assumptions'!L133</f>
        <v>750</v>
      </c>
      <c r="M36" s="240">
        <f>'Data &amp; Assumptions'!M133</f>
        <v>750</v>
      </c>
      <c r="N36" s="240">
        <f>'Data &amp; Assumptions'!N133</f>
        <v>750</v>
      </c>
      <c r="P36" s="6" t="s">
        <v>205</v>
      </c>
    </row>
    <row r="37" spans="1:16" x14ac:dyDescent="0.25">
      <c r="B37" s="17" t="s">
        <v>319</v>
      </c>
      <c r="C37" s="17"/>
      <c r="D37" s="17"/>
      <c r="E37" s="259">
        <f>-7677.69</f>
        <v>-7677.69</v>
      </c>
      <c r="F37" s="259">
        <f>-14009.65</f>
        <v>-14009.65</v>
      </c>
      <c r="G37" s="259">
        <f>-10920.56</f>
        <v>-10920.56</v>
      </c>
      <c r="H37" s="259">
        <f>-16293.8</f>
        <v>-16293.8</v>
      </c>
      <c r="I37" s="259">
        <f>-17509.73</f>
        <v>-17509.73</v>
      </c>
      <c r="J37" s="240">
        <f>-'Asset Schedule'!J63</f>
        <v>-17740.236907380509</v>
      </c>
      <c r="K37" s="240">
        <f>-'Asset Schedule'!K63</f>
        <v>-11360.554108404242</v>
      </c>
      <c r="L37" s="240">
        <f>-'Asset Schedule'!L63</f>
        <v>-5889.6859925449171</v>
      </c>
      <c r="M37" s="240">
        <f>-'Asset Schedule'!M63</f>
        <v>-3893.5020920887919</v>
      </c>
      <c r="N37" s="240">
        <f>-'Asset Schedule'!N63</f>
        <v>-2534.2200880961973</v>
      </c>
      <c r="P37" s="6" t="s">
        <v>205</v>
      </c>
    </row>
    <row r="38" spans="1:16" x14ac:dyDescent="0.25">
      <c r="B38" t="s">
        <v>426</v>
      </c>
      <c r="E38" s="222">
        <v>0</v>
      </c>
      <c r="F38" s="222">
        <v>0</v>
      </c>
      <c r="G38" s="222">
        <v>0</v>
      </c>
      <c r="H38" s="222">
        <v>144.93</v>
      </c>
      <c r="I38" s="222">
        <v>39.22</v>
      </c>
      <c r="J38" s="173">
        <f>('Asset Schedule'!J6-'Asset Schedule'!J10)+('Asset Schedule'!J19-'Asset Schedule'!J23)</f>
        <v>47.155000000000001</v>
      </c>
      <c r="K38" s="173">
        <f>('Asset Schedule'!K6-'Asset Schedule'!K10)+('Asset Schedule'!K19-'Asset Schedule'!K23)</f>
        <v>47.155000000000001</v>
      </c>
      <c r="L38" s="173">
        <f>('Asset Schedule'!L6-'Asset Schedule'!L10)+('Asset Schedule'!L19-'Asset Schedule'!L23)</f>
        <v>47.155000000000001</v>
      </c>
      <c r="M38" s="173">
        <f>('Asset Schedule'!M6-'Asset Schedule'!M10)+('Asset Schedule'!M19-'Asset Schedule'!M23)</f>
        <v>47.155000000000001</v>
      </c>
      <c r="N38" s="173">
        <f>('Asset Schedule'!N6-'Asset Schedule'!N10)+('Asset Schedule'!N19-'Asset Schedule'!N23)</f>
        <v>47.155000000000001</v>
      </c>
      <c r="P38" s="6" t="s">
        <v>204</v>
      </c>
    </row>
    <row r="39" spans="1:16" x14ac:dyDescent="0.25">
      <c r="B39" t="s">
        <v>346</v>
      </c>
      <c r="E39" s="222">
        <v>0</v>
      </c>
      <c r="F39" s="222">
        <v>0</v>
      </c>
      <c r="G39" s="222">
        <v>0</v>
      </c>
      <c r="H39" s="222">
        <v>0</v>
      </c>
      <c r="I39" s="222">
        <f>-132.49</f>
        <v>-132.49</v>
      </c>
      <c r="J39" s="240">
        <v>0</v>
      </c>
      <c r="K39" s="240">
        <v>0</v>
      </c>
      <c r="L39" s="240">
        <v>0</v>
      </c>
      <c r="M39" s="240">
        <v>0</v>
      </c>
      <c r="N39" s="240">
        <v>0</v>
      </c>
    </row>
    <row r="40" spans="1:16" x14ac:dyDescent="0.25">
      <c r="B40" t="s">
        <v>340</v>
      </c>
      <c r="E40" s="222">
        <v>0</v>
      </c>
      <c r="F40" s="222">
        <v>0</v>
      </c>
      <c r="G40" s="222">
        <f>-350</f>
        <v>-350</v>
      </c>
      <c r="H40" s="222">
        <v>0</v>
      </c>
      <c r="I40" s="222">
        <v>0</v>
      </c>
      <c r="J40" s="240">
        <f t="shared" ref="J40" si="9">I40</f>
        <v>0</v>
      </c>
      <c r="K40" s="240">
        <f t="shared" ref="K40:N40" si="10">J40</f>
        <v>0</v>
      </c>
      <c r="L40" s="240">
        <f t="shared" si="10"/>
        <v>0</v>
      </c>
      <c r="M40" s="240">
        <f t="shared" si="10"/>
        <v>0</v>
      </c>
      <c r="N40" s="240">
        <f t="shared" si="10"/>
        <v>0</v>
      </c>
    </row>
    <row r="41" spans="1:16" x14ac:dyDescent="0.25">
      <c r="B41" t="s">
        <v>341</v>
      </c>
      <c r="E41" s="222">
        <v>0</v>
      </c>
      <c r="F41" s="222">
        <v>0</v>
      </c>
      <c r="G41" s="222">
        <f>-64.66</f>
        <v>-64.66</v>
      </c>
      <c r="H41" s="222">
        <v>0</v>
      </c>
      <c r="I41" s="222">
        <v>0</v>
      </c>
      <c r="J41" s="240">
        <f t="shared" ref="J41" si="11">I41</f>
        <v>0</v>
      </c>
      <c r="K41" s="240">
        <f t="shared" ref="K41:N41" si="12">J41</f>
        <v>0</v>
      </c>
      <c r="L41" s="240">
        <f t="shared" si="12"/>
        <v>0</v>
      </c>
      <c r="M41" s="240">
        <f t="shared" si="12"/>
        <v>0</v>
      </c>
      <c r="N41" s="240">
        <f t="shared" si="12"/>
        <v>0</v>
      </c>
    </row>
    <row r="42" spans="1:16" x14ac:dyDescent="0.25">
      <c r="B42" t="s">
        <v>320</v>
      </c>
      <c r="E42" s="222">
        <f>-32804.45</f>
        <v>-32804.449999999997</v>
      </c>
      <c r="F42" s="222">
        <v>0</v>
      </c>
      <c r="G42" s="222">
        <v>0</v>
      </c>
      <c r="H42" s="222">
        <v>0</v>
      </c>
      <c r="I42" s="222">
        <v>0</v>
      </c>
      <c r="J42" s="240">
        <f t="shared" ref="J42" si="13">I42</f>
        <v>0</v>
      </c>
      <c r="K42" s="240">
        <f t="shared" ref="K42:N42" si="14">J42</f>
        <v>0</v>
      </c>
      <c r="L42" s="240">
        <f t="shared" si="14"/>
        <v>0</v>
      </c>
      <c r="M42" s="240">
        <f t="shared" si="14"/>
        <v>0</v>
      </c>
      <c r="N42" s="240">
        <f t="shared" si="14"/>
        <v>0</v>
      </c>
    </row>
    <row r="43" spans="1:16" x14ac:dyDescent="0.25">
      <c r="B43" t="s">
        <v>321</v>
      </c>
      <c r="E43" s="222">
        <f>-4730.21</f>
        <v>-4730.21</v>
      </c>
      <c r="F43" s="222">
        <v>0</v>
      </c>
      <c r="G43" s="222">
        <v>0</v>
      </c>
      <c r="H43" s="222">
        <v>0</v>
      </c>
      <c r="I43" s="222">
        <v>0</v>
      </c>
      <c r="J43" s="240">
        <f t="shared" ref="J43" si="15">I43</f>
        <v>0</v>
      </c>
      <c r="K43" s="240">
        <f t="shared" ref="K43:N43" si="16">J43</f>
        <v>0</v>
      </c>
      <c r="L43" s="240">
        <f t="shared" si="16"/>
        <v>0</v>
      </c>
      <c r="M43" s="240">
        <f t="shared" si="16"/>
        <v>0</v>
      </c>
      <c r="N43" s="240">
        <f t="shared" si="16"/>
        <v>0</v>
      </c>
    </row>
    <row r="44" spans="1:16" x14ac:dyDescent="0.25">
      <c r="B44" t="s">
        <v>249</v>
      </c>
      <c r="E44" s="222">
        <v>915</v>
      </c>
      <c r="F44" s="222">
        <v>1400</v>
      </c>
      <c r="G44" s="222">
        <v>920</v>
      </c>
      <c r="H44" s="222">
        <v>700</v>
      </c>
      <c r="I44" s="222">
        <v>1003.33</v>
      </c>
      <c r="J44" s="240">
        <f>'Data &amp; Assumptions'!J129</f>
        <v>1050.8326218311622</v>
      </c>
      <c r="K44" s="240">
        <f>'Data &amp; Assumptions'!K129</f>
        <v>1100.946360024481</v>
      </c>
      <c r="L44" s="240">
        <f>'Data &amp; Assumptions'!L129</f>
        <v>1153.45</v>
      </c>
      <c r="M44" s="240">
        <f>'Data &amp; Assumptions'!M129</f>
        <v>1208.4575151058366</v>
      </c>
      <c r="N44" s="240">
        <f>'Data &amp; Assumptions'!N129</f>
        <v>1266.088314028153</v>
      </c>
      <c r="P44" s="6" t="s">
        <v>205</v>
      </c>
    </row>
    <row r="45" spans="1:16" x14ac:dyDescent="0.25">
      <c r="B45" t="s">
        <v>322</v>
      </c>
      <c r="E45" s="222">
        <v>907.03</v>
      </c>
      <c r="F45" s="222">
        <v>129.62</v>
      </c>
      <c r="G45" s="222">
        <v>1903.68</v>
      </c>
      <c r="H45" s="222">
        <v>1706.66</v>
      </c>
      <c r="I45" s="222">
        <v>1155.3900000000001</v>
      </c>
      <c r="J45" s="240">
        <f ca="1">'P&amp;L'!J5</f>
        <v>1342.6443123722056</v>
      </c>
      <c r="K45" s="240">
        <f ca="1">'P&amp;L'!K5</f>
        <v>1914.5334264257483</v>
      </c>
      <c r="L45" s="240">
        <f ca="1">'P&amp;L'!L5</f>
        <v>2948.1546627710254</v>
      </c>
      <c r="M45" s="240">
        <f ca="1">'P&amp;L'!M5</f>
        <v>3960.4778608318306</v>
      </c>
      <c r="N45" s="240">
        <f ca="1">'P&amp;L'!N5</f>
        <v>5093.7665210045207</v>
      </c>
      <c r="P45" s="6" t="s">
        <v>353</v>
      </c>
    </row>
    <row r="46" spans="1:16" ht="16.5" thickBot="1" x14ac:dyDescent="0.3">
      <c r="A46" s="11" t="s">
        <v>325</v>
      </c>
      <c r="B46" s="11"/>
      <c r="C46" s="11"/>
      <c r="D46" s="11"/>
      <c r="E46" s="247">
        <f t="shared" ref="E46:J46" si="17">SUM(E33:E45)</f>
        <v>-30413.309999999998</v>
      </c>
      <c r="F46" s="247">
        <f t="shared" si="17"/>
        <v>-11820.24</v>
      </c>
      <c r="G46" s="247">
        <f t="shared" si="17"/>
        <v>-16696.439999999999</v>
      </c>
      <c r="H46" s="247">
        <f t="shared" si="17"/>
        <v>-11797.32</v>
      </c>
      <c r="I46" s="247">
        <f t="shared" si="17"/>
        <v>-16530.87</v>
      </c>
      <c r="J46" s="249">
        <f t="shared" ca="1" si="17"/>
        <v>-14568.038773177141</v>
      </c>
      <c r="K46" s="249">
        <f t="shared" ref="K46" ca="1" si="18">SUM(K33:K45)</f>
        <v>-9446.3615749241071</v>
      </c>
      <c r="L46" s="249">
        <f t="shared" ref="L46" ca="1" si="19">SUM(L33:L45)</f>
        <v>-8734.6292533022861</v>
      </c>
      <c r="M46" s="249">
        <f t="shared" ref="M46" ca="1" si="20">SUM(M33:M45)</f>
        <v>-5600.2958871555238</v>
      </c>
      <c r="N46" s="249">
        <f t="shared" ref="N46" ca="1" si="21">SUM(N33:N45)</f>
        <v>-4035.560622209824</v>
      </c>
    </row>
    <row r="47" spans="1:16" ht="16.5" thickTop="1" x14ac:dyDescent="0.25">
      <c r="E47" s="223"/>
      <c r="F47" s="223"/>
      <c r="G47" s="223"/>
      <c r="H47" s="223"/>
      <c r="I47" s="223"/>
      <c r="J47" s="221"/>
      <c r="K47" s="221"/>
      <c r="L47" s="221"/>
      <c r="M47" s="221"/>
      <c r="N47" s="221"/>
    </row>
    <row r="48" spans="1:16" x14ac:dyDescent="0.25">
      <c r="A48" s="1" t="s">
        <v>326</v>
      </c>
      <c r="E48" s="221"/>
      <c r="F48" s="221"/>
      <c r="G48" s="221"/>
      <c r="H48" s="221"/>
      <c r="I48" s="221"/>
      <c r="J48" s="221"/>
      <c r="K48" s="221"/>
      <c r="L48" s="221"/>
      <c r="M48" s="221"/>
      <c r="N48" s="221"/>
    </row>
    <row r="49" spans="1:16" x14ac:dyDescent="0.25">
      <c r="B49" t="s">
        <v>327</v>
      </c>
      <c r="E49" s="222">
        <f>-3698.75</f>
        <v>-3698.75</v>
      </c>
      <c r="F49" s="222">
        <f>-6420.61</f>
        <v>-6420.61</v>
      </c>
      <c r="G49" s="222">
        <f>-9862.11</f>
        <v>-9862.11</v>
      </c>
      <c r="H49" s="222">
        <f>-11200.31</f>
        <v>-11200.31</v>
      </c>
      <c r="I49" s="222">
        <f>-13702.65</f>
        <v>-13702.65</v>
      </c>
      <c r="J49" s="240">
        <f>-'Debt Schedule'!J11</f>
        <v>-15668.508855864769</v>
      </c>
      <c r="K49" s="240">
        <f>-'Debt Schedule'!K11</f>
        <v>-17105.203664416335</v>
      </c>
      <c r="L49" s="240">
        <f>-'Debt Schedule'!L11</f>
        <v>-18208.762717922269</v>
      </c>
      <c r="M49" s="240">
        <f>-'Debt Schedule'!M11</f>
        <v>-19046.97933261254</v>
      </c>
      <c r="N49" s="240">
        <f>-'Debt Schedule'!N11</f>
        <v>-19679.995868817834</v>
      </c>
      <c r="P49" s="6" t="s">
        <v>284</v>
      </c>
    </row>
    <row r="50" spans="1:16" x14ac:dyDescent="0.25">
      <c r="B50" t="s">
        <v>328</v>
      </c>
      <c r="E50" s="222">
        <f>-40451.82</f>
        <v>-40451.82</v>
      </c>
      <c r="F50" s="222">
        <f>-51770.13</f>
        <v>-51770.13</v>
      </c>
      <c r="G50" s="222">
        <f>-20247.13</f>
        <v>-20247.13</v>
      </c>
      <c r="H50" s="222">
        <f>-69419.62</f>
        <v>-69419.62</v>
      </c>
      <c r="I50" s="222">
        <f>-80040.15</f>
        <v>-80040.149999999994</v>
      </c>
      <c r="J50" s="240">
        <f>-'Debt Schedule'!J5</f>
        <v>-56663</v>
      </c>
      <c r="K50" s="240">
        <f>-'Debt Schedule'!K5</f>
        <v>-42014</v>
      </c>
      <c r="L50" s="240">
        <f>-'Debt Schedule'!L5</f>
        <v>-28032</v>
      </c>
      <c r="M50" s="240">
        <f>-'Debt Schedule'!M5</f>
        <v>-11637</v>
      </c>
      <c r="N50" s="240">
        <f>-'Debt Schedule'!N5</f>
        <v>-13534</v>
      </c>
      <c r="P50" s="6" t="s">
        <v>284</v>
      </c>
    </row>
    <row r="51" spans="1:16" x14ac:dyDescent="0.25">
      <c r="B51" t="s">
        <v>329</v>
      </c>
      <c r="E51" s="222">
        <v>44303.5</v>
      </c>
      <c r="F51" s="222">
        <v>64036.800000000003</v>
      </c>
      <c r="G51" s="222">
        <v>41686.269999999997</v>
      </c>
      <c r="H51" s="222">
        <v>89066.31</v>
      </c>
      <c r="I51" s="222">
        <v>97383.96</v>
      </c>
      <c r="J51" s="240">
        <f>('Debt Schedule'!J6+'Debt Schedule'!J7)</f>
        <v>78343.822823060531</v>
      </c>
      <c r="K51" s="240">
        <f>('Debt Schedule'!K6+'Debt Schedule'!K7)</f>
        <v>58645.038738314499</v>
      </c>
      <c r="L51" s="240">
        <f>('Debt Schedule'!L6+'Debt Schedule'!L7)</f>
        <v>40829.202688510406</v>
      </c>
      <c r="M51" s="240">
        <f>('Debt Schedule'!M6+'Debt Schedule'!M7)</f>
        <v>21192.240369896848</v>
      </c>
      <c r="N51" s="240">
        <f>('Debt Schedule'!N6+'Debt Schedule'!N7)</f>
        <v>20859.200595577739</v>
      </c>
      <c r="P51" s="6" t="s">
        <v>284</v>
      </c>
    </row>
    <row r="52" spans="1:16" x14ac:dyDescent="0.25">
      <c r="B52" t="s">
        <v>330</v>
      </c>
      <c r="E52" s="222">
        <v>36852.019999999997</v>
      </c>
      <c r="F52" s="222">
        <v>0</v>
      </c>
      <c r="G52" s="222">
        <v>0</v>
      </c>
      <c r="H52" s="222">
        <v>0</v>
      </c>
      <c r="I52" s="222">
        <v>0</v>
      </c>
      <c r="J52" s="173">
        <f t="shared" ref="J52:N52" si="22">I52</f>
        <v>0</v>
      </c>
      <c r="K52" s="173">
        <f t="shared" si="22"/>
        <v>0</v>
      </c>
      <c r="L52" s="173">
        <f t="shared" si="22"/>
        <v>0</v>
      </c>
      <c r="M52" s="173">
        <f t="shared" si="22"/>
        <v>0</v>
      </c>
      <c r="N52" s="173">
        <f t="shared" si="22"/>
        <v>0</v>
      </c>
    </row>
    <row r="53" spans="1:16" x14ac:dyDescent="0.25">
      <c r="B53" t="s">
        <v>331</v>
      </c>
      <c r="E53" s="222">
        <f>-834.93</f>
        <v>-834.93</v>
      </c>
      <c r="F53" s="222">
        <f>-17.72</f>
        <v>-17.72</v>
      </c>
      <c r="G53" s="222">
        <v>0</v>
      </c>
      <c r="H53" s="222">
        <v>0</v>
      </c>
      <c r="I53" s="222">
        <v>0</v>
      </c>
      <c r="J53" s="173">
        <f>I53</f>
        <v>0</v>
      </c>
      <c r="K53" s="173">
        <f t="shared" ref="K53:N53" si="23">J53</f>
        <v>0</v>
      </c>
      <c r="L53" s="173">
        <f t="shared" si="23"/>
        <v>0</v>
      </c>
      <c r="M53" s="173">
        <f t="shared" si="23"/>
        <v>0</v>
      </c>
      <c r="N53" s="173">
        <f t="shared" si="23"/>
        <v>0</v>
      </c>
    </row>
    <row r="54" spans="1:16" x14ac:dyDescent="0.25">
      <c r="B54" s="17" t="s">
        <v>332</v>
      </c>
      <c r="C54" s="17"/>
      <c r="D54" s="17"/>
      <c r="E54" s="222">
        <f>-18370.92</f>
        <v>-18370.919999999998</v>
      </c>
      <c r="F54" s="222">
        <f>-20947.47</f>
        <v>-20947.47</v>
      </c>
      <c r="G54" s="222">
        <f>-20246.2</f>
        <v>-20246.2</v>
      </c>
      <c r="H54" s="222">
        <f>-20589.74</f>
        <v>-20589.740000000002</v>
      </c>
      <c r="I54" s="222">
        <f>-21374.39</f>
        <v>-21374.39</v>
      </c>
      <c r="J54" s="240">
        <f>-'Equity Schedule'!J5</f>
        <v>-23769.547563197364</v>
      </c>
      <c r="K54" s="240">
        <f>-'Equity Schedule'!K5</f>
        <v>-24489.895632748659</v>
      </c>
      <c r="L54" s="240">
        <f>-'Equity Schedule'!L5</f>
        <v>-35610.105239607634</v>
      </c>
      <c r="M54" s="240">
        <f>-'Equity Schedule'!M5</f>
        <v>-35076.696444224086</v>
      </c>
      <c r="N54" s="240">
        <f>-'Equity Schedule'!N5</f>
        <v>-39295.424823495137</v>
      </c>
      <c r="P54" s="6" t="s">
        <v>297</v>
      </c>
    </row>
    <row r="55" spans="1:16" x14ac:dyDescent="0.25">
      <c r="B55" t="s">
        <v>333</v>
      </c>
      <c r="E55" s="222">
        <f>-28.7</f>
        <v>-28.7</v>
      </c>
      <c r="F55" s="222">
        <f>-20.66</f>
        <v>-20.66</v>
      </c>
      <c r="G55" s="222">
        <f>-20.35</f>
        <v>-20.350000000000001</v>
      </c>
      <c r="H55" s="222">
        <f>-28.04</f>
        <v>-28.04</v>
      </c>
      <c r="I55" s="222">
        <f>-190.15</f>
        <v>-190.15</v>
      </c>
      <c r="J55" s="240">
        <f>-'Debt Schedule'!J25</f>
        <v>-190.15</v>
      </c>
      <c r="K55" s="240">
        <f>-'Debt Schedule'!K25</f>
        <v>-190.15</v>
      </c>
      <c r="L55" s="240">
        <f>-'Debt Schedule'!L25</f>
        <v>-190.15</v>
      </c>
      <c r="M55" s="240">
        <f>-'Debt Schedule'!M25</f>
        <v>-190.15</v>
      </c>
      <c r="N55" s="240">
        <f>-'Debt Schedule'!N25</f>
        <v>-190.15</v>
      </c>
      <c r="P55" s="6" t="s">
        <v>284</v>
      </c>
    </row>
    <row r="56" spans="1:16" x14ac:dyDescent="0.25">
      <c r="B56" t="s">
        <v>334</v>
      </c>
      <c r="E56" s="222">
        <v>1</v>
      </c>
      <c r="F56" s="222">
        <v>0</v>
      </c>
      <c r="G56" s="222">
        <v>0</v>
      </c>
      <c r="H56" s="222">
        <v>0</v>
      </c>
      <c r="I56" s="222">
        <v>0</v>
      </c>
      <c r="J56" s="173">
        <f t="shared" ref="J56:N56" si="24">I56</f>
        <v>0</v>
      </c>
      <c r="K56" s="173">
        <f t="shared" si="24"/>
        <v>0</v>
      </c>
      <c r="L56" s="173">
        <f t="shared" si="24"/>
        <v>0</v>
      </c>
      <c r="M56" s="173">
        <f t="shared" si="24"/>
        <v>0</v>
      </c>
      <c r="N56" s="173">
        <f t="shared" si="24"/>
        <v>0</v>
      </c>
    </row>
    <row r="57" spans="1:16" ht="16.5" thickBot="1" x14ac:dyDescent="0.3">
      <c r="A57" s="11" t="s">
        <v>335</v>
      </c>
      <c r="B57" s="11"/>
      <c r="C57" s="11"/>
      <c r="D57" s="11"/>
      <c r="E57" s="247">
        <f t="shared" ref="E57:N57" si="25">SUM(E49:E56)</f>
        <v>17771.399999999998</v>
      </c>
      <c r="F57" s="247">
        <f t="shared" si="25"/>
        <v>-15139.789999999997</v>
      </c>
      <c r="G57" s="247">
        <f t="shared" si="25"/>
        <v>-8689.5200000000059</v>
      </c>
      <c r="H57" s="247">
        <f t="shared" si="25"/>
        <v>-12171.399999999998</v>
      </c>
      <c r="I57" s="247">
        <f t="shared" si="25"/>
        <v>-17923.379999999983</v>
      </c>
      <c r="J57" s="249">
        <f t="shared" si="25"/>
        <v>-17947.383596001604</v>
      </c>
      <c r="K57" s="249">
        <f t="shared" si="25"/>
        <v>-25154.210558850493</v>
      </c>
      <c r="L57" s="249">
        <f t="shared" si="25"/>
        <v>-41211.815269019498</v>
      </c>
      <c r="M57" s="249">
        <f t="shared" si="25"/>
        <v>-44758.585406939783</v>
      </c>
      <c r="N57" s="249">
        <f t="shared" si="25"/>
        <v>-51840.370096735227</v>
      </c>
    </row>
    <row r="58" spans="1:16" ht="16.5" thickTop="1" x14ac:dyDescent="0.25">
      <c r="B58" s="6" t="s">
        <v>336</v>
      </c>
      <c r="C58" s="6"/>
      <c r="D58" s="6"/>
      <c r="E58" s="172">
        <f t="shared" ref="E58:N58" si="26">E30+E46+E57</f>
        <v>6063.0400000000009</v>
      </c>
      <c r="F58" s="172">
        <f t="shared" si="26"/>
        <v>-3290.2900000000027</v>
      </c>
      <c r="G58" s="172">
        <f t="shared" si="26"/>
        <v>269.14000000000124</v>
      </c>
      <c r="H58" s="172">
        <f t="shared" si="26"/>
        <v>1940.239999999998</v>
      </c>
      <c r="I58" s="172">
        <f t="shared" si="26"/>
        <v>-3661.0599999999831</v>
      </c>
      <c r="J58" s="252">
        <f t="shared" ca="1" si="26"/>
        <v>2791.023697910492</v>
      </c>
      <c r="K58" s="252">
        <f t="shared" ca="1" si="26"/>
        <v>2578.786302089502</v>
      </c>
      <c r="L58" s="252">
        <f t="shared" ca="1" si="26"/>
        <v>0</v>
      </c>
      <c r="M58" s="252">
        <f t="shared" ca="1" si="26"/>
        <v>0</v>
      </c>
      <c r="N58" s="252">
        <f t="shared" ca="1" si="26"/>
        <v>0</v>
      </c>
    </row>
    <row r="59" spans="1:16" x14ac:dyDescent="0.25">
      <c r="B59" t="s">
        <v>337</v>
      </c>
      <c r="E59" s="222">
        <v>3111.75</v>
      </c>
      <c r="F59" s="221">
        <f t="shared" ref="F59:N59" si="27">E61</f>
        <v>9174.7900000000009</v>
      </c>
      <c r="G59" s="221">
        <f t="shared" si="27"/>
        <v>5884.4999999999982</v>
      </c>
      <c r="H59" s="221">
        <f t="shared" si="27"/>
        <v>8173.48</v>
      </c>
      <c r="I59" s="221">
        <f t="shared" si="27"/>
        <v>10113.719999999998</v>
      </c>
      <c r="J59" s="240">
        <f t="shared" si="27"/>
        <v>6630.1900000000142</v>
      </c>
      <c r="K59" s="240">
        <f t="shared" ca="1" si="27"/>
        <v>9421.2136979105053</v>
      </c>
      <c r="L59" s="240">
        <f t="shared" ca="1" si="27"/>
        <v>12000.000000000007</v>
      </c>
      <c r="M59" s="240">
        <f t="shared" ca="1" si="27"/>
        <v>12000.000000000007</v>
      </c>
      <c r="N59" s="240">
        <f t="shared" ca="1" si="27"/>
        <v>12000.000000000007</v>
      </c>
    </row>
    <row r="60" spans="1:16" x14ac:dyDescent="0.25">
      <c r="B60" t="s">
        <v>352</v>
      </c>
      <c r="E60" s="222"/>
      <c r="F60" s="221"/>
      <c r="G60" s="222">
        <v>2019.84</v>
      </c>
      <c r="H60" s="221"/>
      <c r="I60" s="222">
        <v>177.53</v>
      </c>
      <c r="J60" s="173">
        <v>0</v>
      </c>
      <c r="K60" s="173">
        <f t="shared" ref="K60:N60" si="28">J60</f>
        <v>0</v>
      </c>
      <c r="L60" s="173">
        <f t="shared" si="28"/>
        <v>0</v>
      </c>
      <c r="M60" s="173">
        <f t="shared" si="28"/>
        <v>0</v>
      </c>
      <c r="N60" s="173">
        <f t="shared" si="28"/>
        <v>0</v>
      </c>
    </row>
    <row r="61" spans="1:16" x14ac:dyDescent="0.25">
      <c r="A61" s="4" t="s">
        <v>338</v>
      </c>
      <c r="B61" s="4"/>
      <c r="C61" s="4"/>
      <c r="D61" s="4"/>
      <c r="E61" s="245">
        <f t="shared" ref="E61:N61" si="29">E59+E58+E60</f>
        <v>9174.7900000000009</v>
      </c>
      <c r="F61" s="245">
        <f t="shared" si="29"/>
        <v>5884.4999999999982</v>
      </c>
      <c r="G61" s="245">
        <f t="shared" si="29"/>
        <v>8173.48</v>
      </c>
      <c r="H61" s="245">
        <f t="shared" si="29"/>
        <v>10113.719999999998</v>
      </c>
      <c r="I61" s="245">
        <f t="shared" si="29"/>
        <v>6630.1900000000142</v>
      </c>
      <c r="J61" s="248">
        <f t="shared" ca="1" si="29"/>
        <v>9421.2136979105053</v>
      </c>
      <c r="K61" s="248">
        <f t="shared" ca="1" si="29"/>
        <v>12000.000000000007</v>
      </c>
      <c r="L61" s="248">
        <f t="shared" ca="1" si="29"/>
        <v>12000.000000000007</v>
      </c>
      <c r="M61" s="248">
        <f t="shared" ca="1" si="29"/>
        <v>12000.000000000007</v>
      </c>
      <c r="N61" s="248">
        <f t="shared" ca="1" si="29"/>
        <v>12000.000000000007</v>
      </c>
    </row>
    <row r="62" spans="1:16" x14ac:dyDescent="0.25">
      <c r="E62" s="221"/>
      <c r="F62" s="221"/>
      <c r="G62" s="221"/>
      <c r="H62" s="221"/>
      <c r="I62" s="221"/>
      <c r="J62" s="221"/>
      <c r="K62" s="221"/>
      <c r="L62" s="221"/>
      <c r="M62" s="221"/>
      <c r="N62" s="221"/>
    </row>
    <row r="63" spans="1:16" x14ac:dyDescent="0.25">
      <c r="E63" s="221"/>
      <c r="F63" s="221"/>
      <c r="G63" s="221"/>
      <c r="H63" s="221"/>
      <c r="I63" s="221"/>
      <c r="J63" s="221"/>
      <c r="K63" s="221"/>
      <c r="L63" s="221"/>
      <c r="M63" s="221"/>
      <c r="N63" s="221"/>
    </row>
    <row r="64" spans="1:16" x14ac:dyDescent="0.25">
      <c r="E64" s="221"/>
      <c r="F64" s="221"/>
      <c r="G64" s="221"/>
      <c r="H64" s="221"/>
      <c r="I64" s="221"/>
      <c r="J64" s="221"/>
      <c r="K64" s="221"/>
      <c r="L64" s="221"/>
      <c r="M64" s="221"/>
      <c r="N64" s="221"/>
    </row>
    <row r="65" spans="5:14" x14ac:dyDescent="0.25">
      <c r="E65" s="221"/>
      <c r="F65" s="221"/>
      <c r="G65" s="221"/>
      <c r="H65" s="221"/>
      <c r="I65" s="221"/>
      <c r="J65" s="221"/>
      <c r="K65" s="221"/>
      <c r="L65" s="221"/>
      <c r="M65" s="221"/>
      <c r="N65" s="221"/>
    </row>
    <row r="66" spans="5:14" x14ac:dyDescent="0.25">
      <c r="E66" s="221"/>
      <c r="F66" s="221"/>
      <c r="G66" s="221"/>
      <c r="H66" s="221"/>
      <c r="I66" s="221"/>
      <c r="J66" s="221"/>
      <c r="K66" s="221"/>
      <c r="L66" s="221"/>
      <c r="M66" s="221"/>
      <c r="N66" s="221"/>
    </row>
    <row r="67" spans="5:14" x14ac:dyDescent="0.25">
      <c r="E67" s="221"/>
      <c r="F67" s="221"/>
      <c r="G67" s="221"/>
      <c r="H67" s="221"/>
      <c r="I67" s="221"/>
      <c r="J67" s="221"/>
      <c r="K67" s="221"/>
      <c r="L67" s="221"/>
      <c r="M67" s="221"/>
      <c r="N67" s="221"/>
    </row>
    <row r="68" spans="5:14" x14ac:dyDescent="0.25">
      <c r="E68" s="221"/>
      <c r="F68" s="221"/>
      <c r="G68" s="221"/>
      <c r="H68" s="221"/>
      <c r="I68" s="221"/>
      <c r="J68" s="221"/>
      <c r="K68" s="221"/>
      <c r="L68" s="221"/>
      <c r="M68" s="221"/>
      <c r="N68" s="221"/>
    </row>
    <row r="69" spans="5:14" x14ac:dyDescent="0.25">
      <c r="E69" s="221"/>
      <c r="F69" s="221"/>
      <c r="G69" s="221"/>
      <c r="H69" s="221"/>
      <c r="I69" s="221"/>
      <c r="J69" s="221"/>
      <c r="K69" s="221"/>
      <c r="L69" s="221"/>
      <c r="M69" s="221"/>
      <c r="N69" s="221"/>
    </row>
    <row r="70" spans="5:14" x14ac:dyDescent="0.25">
      <c r="E70" s="221"/>
      <c r="F70" s="221"/>
      <c r="G70" s="221"/>
      <c r="H70" s="221"/>
      <c r="I70" s="221"/>
      <c r="J70" s="221"/>
      <c r="K70" s="221"/>
      <c r="L70" s="221"/>
      <c r="M70" s="221"/>
      <c r="N70" s="221"/>
    </row>
    <row r="71" spans="5:14" x14ac:dyDescent="0.25">
      <c r="E71" s="221"/>
      <c r="F71" s="221"/>
      <c r="G71" s="221"/>
      <c r="H71" s="221"/>
      <c r="I71" s="221"/>
      <c r="J71" s="221"/>
      <c r="K71" s="221"/>
      <c r="L71" s="221"/>
      <c r="M71" s="221"/>
      <c r="N71" s="221"/>
    </row>
    <row r="72" spans="5:14" x14ac:dyDescent="0.25">
      <c r="E72" s="221"/>
      <c r="F72" s="221"/>
      <c r="G72" s="221"/>
      <c r="H72" s="221"/>
      <c r="I72" s="221"/>
      <c r="J72" s="221"/>
      <c r="K72" s="221"/>
      <c r="L72" s="221"/>
      <c r="M72" s="221"/>
      <c r="N72" s="221"/>
    </row>
    <row r="73" spans="5:14" x14ac:dyDescent="0.25">
      <c r="E73" s="221"/>
      <c r="F73" s="221"/>
      <c r="G73" s="221"/>
      <c r="H73" s="221"/>
      <c r="I73" s="221"/>
      <c r="J73" s="221"/>
      <c r="K73" s="221"/>
      <c r="L73" s="221"/>
      <c r="M73" s="221"/>
      <c r="N73" s="221"/>
    </row>
    <row r="74" spans="5:14" x14ac:dyDescent="0.25">
      <c r="E74" s="221"/>
      <c r="F74" s="221"/>
      <c r="G74" s="221"/>
      <c r="H74" s="221"/>
      <c r="I74" s="221"/>
      <c r="J74" s="221"/>
      <c r="K74" s="221"/>
      <c r="L74" s="221"/>
      <c r="M74" s="221"/>
      <c r="N74" s="221"/>
    </row>
    <row r="75" spans="5:14" x14ac:dyDescent="0.25">
      <c r="E75" s="221"/>
      <c r="F75" s="221"/>
      <c r="G75" s="221"/>
      <c r="H75" s="221"/>
      <c r="I75" s="221"/>
      <c r="J75" s="221"/>
      <c r="K75" s="221"/>
      <c r="L75" s="221"/>
      <c r="M75" s="221"/>
      <c r="N75" s="221"/>
    </row>
    <row r="76" spans="5:14" x14ac:dyDescent="0.25">
      <c r="E76" s="221"/>
      <c r="F76" s="221"/>
      <c r="G76" s="221"/>
      <c r="H76" s="221"/>
      <c r="I76" s="221"/>
      <c r="J76" s="221"/>
      <c r="K76" s="221"/>
      <c r="L76" s="221"/>
      <c r="M76" s="221"/>
      <c r="N76" s="221"/>
    </row>
    <row r="77" spans="5:14" x14ac:dyDescent="0.25">
      <c r="E77" s="221"/>
      <c r="F77" s="221"/>
      <c r="G77" s="221"/>
      <c r="H77" s="221"/>
      <c r="I77" s="221"/>
      <c r="J77" s="221"/>
      <c r="K77" s="221"/>
      <c r="L77" s="221"/>
      <c r="M77" s="221"/>
      <c r="N77" s="221"/>
    </row>
    <row r="78" spans="5:14" x14ac:dyDescent="0.25">
      <c r="E78" s="221"/>
      <c r="F78" s="221"/>
      <c r="G78" s="221"/>
      <c r="H78" s="221"/>
      <c r="I78" s="221"/>
      <c r="J78" s="221"/>
      <c r="K78" s="221"/>
      <c r="L78" s="221"/>
      <c r="M78" s="221"/>
      <c r="N78" s="221"/>
    </row>
    <row r="79" spans="5:14" x14ac:dyDescent="0.25">
      <c r="E79" s="221"/>
      <c r="F79" s="221"/>
      <c r="G79" s="221"/>
      <c r="H79" s="221"/>
      <c r="I79" s="221"/>
      <c r="J79" s="221"/>
      <c r="K79" s="221"/>
      <c r="L79" s="221"/>
      <c r="M79" s="221"/>
      <c r="N79" s="221"/>
    </row>
    <row r="80" spans="5:14" x14ac:dyDescent="0.25">
      <c r="E80" s="221"/>
      <c r="F80" s="221"/>
      <c r="G80" s="221"/>
      <c r="H80" s="221"/>
      <c r="I80" s="221"/>
      <c r="J80" s="221"/>
      <c r="K80" s="221"/>
      <c r="L80" s="221"/>
      <c r="M80" s="221"/>
      <c r="N80" s="221"/>
    </row>
    <row r="81" spans="5:14" x14ac:dyDescent="0.25">
      <c r="E81" s="221"/>
      <c r="F81" s="221"/>
      <c r="G81" s="221"/>
      <c r="H81" s="221"/>
      <c r="I81" s="221"/>
      <c r="J81" s="221"/>
      <c r="K81" s="221"/>
      <c r="L81" s="221"/>
      <c r="M81" s="221"/>
      <c r="N81" s="221"/>
    </row>
    <row r="82" spans="5:14" x14ac:dyDescent="0.25">
      <c r="E82" s="221"/>
      <c r="F82" s="221"/>
      <c r="G82" s="221"/>
      <c r="H82" s="221"/>
      <c r="I82" s="221"/>
      <c r="J82" s="221"/>
      <c r="K82" s="221"/>
      <c r="L82" s="221"/>
      <c r="M82" s="221"/>
      <c r="N82" s="221"/>
    </row>
    <row r="83" spans="5:14" x14ac:dyDescent="0.25">
      <c r="E83" s="221"/>
      <c r="F83" s="221"/>
      <c r="G83" s="221"/>
      <c r="H83" s="221"/>
      <c r="I83" s="221"/>
      <c r="J83" s="221"/>
      <c r="K83" s="221"/>
      <c r="L83" s="221"/>
      <c r="M83" s="221"/>
      <c r="N83" s="221"/>
    </row>
    <row r="84" spans="5:14" x14ac:dyDescent="0.25">
      <c r="E84" s="221"/>
      <c r="F84" s="221"/>
      <c r="G84" s="221"/>
      <c r="H84" s="221"/>
      <c r="I84" s="221"/>
      <c r="J84" s="221"/>
      <c r="K84" s="221"/>
      <c r="L84" s="221"/>
      <c r="M84" s="221"/>
      <c r="N84" s="221"/>
    </row>
    <row r="85" spans="5:14" x14ac:dyDescent="0.25">
      <c r="E85" s="221"/>
      <c r="F85" s="221"/>
      <c r="G85" s="221"/>
      <c r="H85" s="221"/>
      <c r="I85" s="221"/>
      <c r="J85" s="221"/>
      <c r="K85" s="221"/>
      <c r="L85" s="221"/>
      <c r="M85" s="221"/>
      <c r="N85" s="221"/>
    </row>
    <row r="86" spans="5:14" x14ac:dyDescent="0.25">
      <c r="E86" s="221"/>
      <c r="F86" s="221"/>
      <c r="G86" s="221"/>
      <c r="H86" s="221"/>
      <c r="I86" s="221"/>
      <c r="J86" s="221"/>
      <c r="K86" s="221"/>
      <c r="L86" s="221"/>
      <c r="M86" s="221"/>
      <c r="N86" s="221"/>
    </row>
    <row r="87" spans="5:14" x14ac:dyDescent="0.25">
      <c r="E87" s="221"/>
      <c r="F87" s="221"/>
      <c r="G87" s="221"/>
      <c r="H87" s="221"/>
      <c r="I87" s="221"/>
      <c r="J87" s="221"/>
      <c r="K87" s="221"/>
      <c r="L87" s="221"/>
      <c r="M87" s="221"/>
      <c r="N87" s="221"/>
    </row>
    <row r="88" spans="5:14" x14ac:dyDescent="0.25">
      <c r="E88" s="221"/>
      <c r="F88" s="221"/>
      <c r="G88" s="221"/>
      <c r="H88" s="221"/>
      <c r="I88" s="221"/>
      <c r="J88" s="221"/>
      <c r="K88" s="221"/>
      <c r="L88" s="221"/>
      <c r="M88" s="221"/>
      <c r="N88" s="221"/>
    </row>
    <row r="89" spans="5:14" x14ac:dyDescent="0.25">
      <c r="E89" s="221"/>
      <c r="F89" s="221"/>
      <c r="G89" s="221"/>
      <c r="H89" s="221"/>
      <c r="I89" s="221"/>
      <c r="J89" s="221"/>
      <c r="K89" s="221"/>
      <c r="L89" s="221"/>
      <c r="M89" s="221"/>
      <c r="N89" s="221"/>
    </row>
    <row r="90" spans="5:14" x14ac:dyDescent="0.25">
      <c r="E90" s="221"/>
      <c r="F90" s="221"/>
      <c r="G90" s="221"/>
      <c r="H90" s="221"/>
      <c r="I90" s="221"/>
      <c r="J90" s="221"/>
      <c r="K90" s="221"/>
      <c r="L90" s="221"/>
      <c r="M90" s="221"/>
      <c r="N90" s="221"/>
    </row>
    <row r="91" spans="5:14" x14ac:dyDescent="0.25">
      <c r="E91" s="221"/>
      <c r="F91" s="221"/>
      <c r="G91" s="221"/>
      <c r="H91" s="221"/>
      <c r="I91" s="221"/>
      <c r="J91" s="221"/>
      <c r="K91" s="221"/>
      <c r="L91" s="221"/>
      <c r="M91" s="221"/>
      <c r="N91" s="221"/>
    </row>
    <row r="92" spans="5:14" x14ac:dyDescent="0.25">
      <c r="E92" s="221"/>
      <c r="F92" s="221"/>
      <c r="G92" s="221"/>
      <c r="H92" s="221"/>
      <c r="I92" s="221"/>
      <c r="J92" s="221"/>
      <c r="K92" s="221"/>
      <c r="L92" s="221"/>
      <c r="M92" s="221"/>
      <c r="N92" s="221"/>
    </row>
    <row r="93" spans="5:14" x14ac:dyDescent="0.25">
      <c r="E93" s="221"/>
      <c r="F93" s="221"/>
      <c r="G93" s="221"/>
      <c r="H93" s="221"/>
      <c r="I93" s="221"/>
      <c r="J93" s="221"/>
      <c r="K93" s="221"/>
      <c r="L93" s="221"/>
      <c r="M93" s="221"/>
      <c r="N93" s="221"/>
    </row>
    <row r="94" spans="5:14" x14ac:dyDescent="0.25">
      <c r="E94" s="221"/>
      <c r="F94" s="221"/>
      <c r="G94" s="221"/>
      <c r="H94" s="221"/>
      <c r="I94" s="221"/>
      <c r="J94" s="221"/>
      <c r="K94" s="221"/>
      <c r="L94" s="221"/>
      <c r="M94" s="221"/>
      <c r="N94" s="221"/>
    </row>
    <row r="95" spans="5:14" x14ac:dyDescent="0.25">
      <c r="E95" s="221"/>
      <c r="F95" s="221"/>
      <c r="G95" s="221"/>
      <c r="H95" s="221"/>
      <c r="I95" s="221"/>
      <c r="J95" s="221"/>
      <c r="K95" s="221"/>
      <c r="L95" s="221"/>
      <c r="M95" s="221"/>
      <c r="N95" s="221"/>
    </row>
    <row r="96" spans="5:14" x14ac:dyDescent="0.25">
      <c r="E96" s="221"/>
      <c r="F96" s="221"/>
      <c r="G96" s="221"/>
      <c r="H96" s="221"/>
      <c r="I96" s="221"/>
      <c r="J96" s="221"/>
      <c r="K96" s="221"/>
      <c r="L96" s="221"/>
      <c r="M96" s="221"/>
      <c r="N96" s="221"/>
    </row>
    <row r="97" spans="5:14" x14ac:dyDescent="0.25">
      <c r="E97" s="221"/>
      <c r="F97" s="221"/>
      <c r="G97" s="221"/>
      <c r="H97" s="221"/>
      <c r="I97" s="221"/>
      <c r="J97" s="221"/>
      <c r="K97" s="221"/>
      <c r="L97" s="221"/>
      <c r="M97" s="221"/>
      <c r="N97" s="221"/>
    </row>
    <row r="98" spans="5:14" x14ac:dyDescent="0.25">
      <c r="E98" s="221"/>
      <c r="F98" s="221"/>
      <c r="G98" s="221"/>
      <c r="H98" s="221"/>
      <c r="I98" s="221"/>
      <c r="J98" s="221"/>
      <c r="K98" s="221"/>
      <c r="L98" s="221"/>
      <c r="M98" s="221"/>
      <c r="N98" s="221"/>
    </row>
    <row r="99" spans="5:14" x14ac:dyDescent="0.25">
      <c r="E99" s="221"/>
      <c r="F99" s="221"/>
      <c r="G99" s="221"/>
      <c r="H99" s="221"/>
      <c r="I99" s="221"/>
      <c r="J99" s="221"/>
      <c r="K99" s="221"/>
      <c r="L99" s="221"/>
      <c r="M99" s="221"/>
      <c r="N99" s="221"/>
    </row>
    <row r="100" spans="5:14" x14ac:dyDescent="0.25"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</row>
    <row r="101" spans="5:14" x14ac:dyDescent="0.25"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</row>
    <row r="102" spans="5:14" x14ac:dyDescent="0.25"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</row>
    <row r="103" spans="5:14" x14ac:dyDescent="0.25"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</row>
    <row r="104" spans="5:14" x14ac:dyDescent="0.25"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</row>
    <row r="105" spans="5:14" x14ac:dyDescent="0.25">
      <c r="E105" s="221"/>
      <c r="F105" s="221"/>
      <c r="G105" s="221"/>
      <c r="H105" s="221"/>
      <c r="I105" s="221"/>
      <c r="J105" s="221"/>
      <c r="K105" s="221"/>
      <c r="L105" s="221"/>
      <c r="M105" s="221"/>
      <c r="N105" s="221"/>
    </row>
    <row r="106" spans="5:14" x14ac:dyDescent="0.25">
      <c r="E106" s="221"/>
      <c r="F106" s="221"/>
      <c r="G106" s="221"/>
      <c r="H106" s="221"/>
      <c r="I106" s="221"/>
      <c r="J106" s="221"/>
      <c r="K106" s="221"/>
      <c r="L106" s="221"/>
      <c r="M106" s="221"/>
      <c r="N106" s="221"/>
    </row>
    <row r="107" spans="5:14" x14ac:dyDescent="0.25">
      <c r="E107" s="221"/>
      <c r="F107" s="221"/>
      <c r="G107" s="221"/>
      <c r="H107" s="221"/>
      <c r="I107" s="221"/>
      <c r="J107" s="221"/>
      <c r="K107" s="221"/>
      <c r="L107" s="221"/>
      <c r="M107" s="221"/>
      <c r="N107" s="221"/>
    </row>
    <row r="108" spans="5:14" x14ac:dyDescent="0.25">
      <c r="E108" s="221"/>
      <c r="F108" s="221"/>
      <c r="G108" s="221"/>
      <c r="H108" s="221"/>
      <c r="I108" s="221"/>
      <c r="J108" s="221"/>
      <c r="K108" s="221"/>
      <c r="L108" s="221"/>
      <c r="M108" s="221"/>
      <c r="N108" s="221"/>
    </row>
    <row r="109" spans="5:14" x14ac:dyDescent="0.25">
      <c r="E109" s="221"/>
      <c r="F109" s="221"/>
      <c r="G109" s="221"/>
      <c r="H109" s="221"/>
      <c r="I109" s="221"/>
      <c r="J109" s="221"/>
      <c r="K109" s="221"/>
      <c r="L109" s="221"/>
      <c r="M109" s="221"/>
      <c r="N109" s="221"/>
    </row>
    <row r="110" spans="5:14" x14ac:dyDescent="0.25">
      <c r="E110" s="221"/>
      <c r="F110" s="221"/>
      <c r="G110" s="221"/>
      <c r="H110" s="221"/>
      <c r="I110" s="221"/>
      <c r="J110" s="221"/>
      <c r="K110" s="221"/>
      <c r="L110" s="221"/>
      <c r="M110" s="221"/>
      <c r="N110" s="221"/>
    </row>
    <row r="111" spans="5:14" x14ac:dyDescent="0.25">
      <c r="E111" s="221"/>
      <c r="F111" s="221"/>
      <c r="G111" s="221"/>
      <c r="H111" s="221"/>
      <c r="I111" s="221"/>
      <c r="J111" s="221"/>
      <c r="K111" s="221"/>
      <c r="L111" s="221"/>
      <c r="M111" s="221"/>
      <c r="N111" s="221"/>
    </row>
    <row r="112" spans="5:14" x14ac:dyDescent="0.25">
      <c r="E112" s="221"/>
      <c r="F112" s="221"/>
      <c r="G112" s="221"/>
      <c r="H112" s="221"/>
      <c r="I112" s="221"/>
      <c r="J112" s="221"/>
      <c r="K112" s="221"/>
      <c r="L112" s="221"/>
      <c r="M112" s="221"/>
      <c r="N112" s="221"/>
    </row>
    <row r="113" spans="5:14" x14ac:dyDescent="0.25">
      <c r="E113" s="221"/>
      <c r="F113" s="221"/>
      <c r="G113" s="221"/>
      <c r="H113" s="221"/>
      <c r="I113" s="221"/>
      <c r="J113" s="221"/>
      <c r="K113" s="221"/>
      <c r="L113" s="221"/>
      <c r="M113" s="221"/>
      <c r="N113" s="221"/>
    </row>
    <row r="114" spans="5:14" x14ac:dyDescent="0.25">
      <c r="E114" s="221"/>
      <c r="F114" s="221"/>
      <c r="G114" s="221"/>
      <c r="H114" s="221"/>
      <c r="I114" s="221"/>
      <c r="J114" s="221"/>
      <c r="K114" s="221"/>
      <c r="L114" s="221"/>
      <c r="M114" s="221"/>
      <c r="N114" s="221"/>
    </row>
    <row r="115" spans="5:14" x14ac:dyDescent="0.25">
      <c r="E115" s="221"/>
      <c r="F115" s="221"/>
      <c r="G115" s="221"/>
      <c r="H115" s="221"/>
      <c r="I115" s="221"/>
      <c r="J115" s="221"/>
      <c r="K115" s="221"/>
      <c r="L115" s="221"/>
      <c r="M115" s="221"/>
      <c r="N115" s="221"/>
    </row>
    <row r="116" spans="5:14" x14ac:dyDescent="0.25">
      <c r="E116" s="221"/>
      <c r="F116" s="221"/>
      <c r="G116" s="221"/>
      <c r="H116" s="221"/>
      <c r="I116" s="221"/>
      <c r="J116" s="221"/>
      <c r="K116" s="221"/>
      <c r="L116" s="221"/>
      <c r="M116" s="221"/>
      <c r="N116" s="221"/>
    </row>
    <row r="117" spans="5:14" x14ac:dyDescent="0.25">
      <c r="E117" s="221"/>
      <c r="F117" s="221"/>
      <c r="G117" s="221"/>
      <c r="H117" s="221"/>
      <c r="I117" s="221"/>
      <c r="J117" s="221"/>
      <c r="K117" s="221"/>
      <c r="L117" s="221"/>
      <c r="M117" s="221"/>
      <c r="N117" s="221"/>
    </row>
    <row r="118" spans="5:14" x14ac:dyDescent="0.25">
      <c r="E118" s="221"/>
      <c r="F118" s="221"/>
      <c r="G118" s="221"/>
      <c r="H118" s="221"/>
      <c r="I118" s="221"/>
      <c r="J118" s="221"/>
      <c r="K118" s="221"/>
      <c r="L118" s="221"/>
      <c r="M118" s="221"/>
      <c r="N118" s="221"/>
    </row>
    <row r="119" spans="5:14" x14ac:dyDescent="0.25"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</row>
    <row r="120" spans="5:14" x14ac:dyDescent="0.25"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</row>
    <row r="121" spans="5:14" x14ac:dyDescent="0.25">
      <c r="E121" s="221"/>
      <c r="F121" s="221"/>
      <c r="G121" s="221"/>
      <c r="H121" s="221"/>
      <c r="I121" s="221"/>
      <c r="J121" s="221"/>
      <c r="K121" s="221"/>
      <c r="L121" s="221"/>
      <c r="M121" s="221"/>
      <c r="N121" s="221"/>
    </row>
    <row r="122" spans="5:14" x14ac:dyDescent="0.25"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</row>
    <row r="123" spans="5:14" x14ac:dyDescent="0.25">
      <c r="E123" s="221"/>
      <c r="F123" s="221"/>
      <c r="G123" s="221"/>
      <c r="H123" s="221"/>
      <c r="I123" s="221"/>
      <c r="J123" s="221"/>
      <c r="K123" s="221"/>
      <c r="L123" s="221"/>
      <c r="M123" s="221"/>
      <c r="N123" s="221"/>
    </row>
    <row r="124" spans="5:14" x14ac:dyDescent="0.25"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</row>
    <row r="125" spans="5:14" x14ac:dyDescent="0.25">
      <c r="E125" s="221"/>
      <c r="F125" s="221"/>
      <c r="G125" s="221"/>
      <c r="H125" s="221"/>
      <c r="I125" s="221"/>
      <c r="J125" s="221"/>
      <c r="K125" s="221"/>
      <c r="L125" s="221"/>
      <c r="M125" s="221"/>
      <c r="N125" s="221"/>
    </row>
    <row r="126" spans="5:14" x14ac:dyDescent="0.25">
      <c r="E126" s="221"/>
      <c r="F126" s="221"/>
      <c r="G126" s="221"/>
      <c r="H126" s="221"/>
      <c r="I126" s="221"/>
      <c r="J126" s="221"/>
      <c r="K126" s="221"/>
      <c r="L126" s="221"/>
      <c r="M126" s="221"/>
      <c r="N126" s="221"/>
    </row>
    <row r="127" spans="5:14" x14ac:dyDescent="0.25">
      <c r="E127" s="221"/>
      <c r="F127" s="221"/>
      <c r="G127" s="221"/>
      <c r="H127" s="221"/>
      <c r="I127" s="221"/>
      <c r="J127" s="221"/>
      <c r="K127" s="221"/>
      <c r="L127" s="221"/>
      <c r="M127" s="221"/>
      <c r="N127" s="221"/>
    </row>
    <row r="128" spans="5:14" x14ac:dyDescent="0.25">
      <c r="E128" s="221"/>
      <c r="F128" s="221"/>
      <c r="G128" s="221"/>
      <c r="H128" s="221"/>
      <c r="I128" s="221"/>
      <c r="J128" s="221"/>
      <c r="K128" s="221"/>
      <c r="L128" s="221"/>
      <c r="M128" s="221"/>
      <c r="N128" s="221"/>
    </row>
    <row r="129" spans="5:14" x14ac:dyDescent="0.25">
      <c r="E129" s="221"/>
      <c r="F129" s="221"/>
      <c r="G129" s="221"/>
      <c r="H129" s="221"/>
      <c r="I129" s="221"/>
      <c r="J129" s="221"/>
      <c r="K129" s="221"/>
      <c r="L129" s="221"/>
      <c r="M129" s="221"/>
      <c r="N129" s="221"/>
    </row>
    <row r="130" spans="5:14" x14ac:dyDescent="0.25">
      <c r="E130" s="221"/>
      <c r="F130" s="221"/>
      <c r="G130" s="221"/>
      <c r="H130" s="221"/>
      <c r="I130" s="221"/>
      <c r="J130" s="221"/>
      <c r="K130" s="221"/>
      <c r="L130" s="221"/>
      <c r="M130" s="221"/>
      <c r="N130" s="221"/>
    </row>
    <row r="131" spans="5:14" x14ac:dyDescent="0.25">
      <c r="E131" s="221"/>
      <c r="F131" s="221"/>
      <c r="G131" s="221"/>
      <c r="H131" s="221"/>
      <c r="I131" s="221"/>
      <c r="J131" s="221"/>
      <c r="K131" s="221"/>
      <c r="L131" s="221"/>
      <c r="M131" s="221"/>
      <c r="N131" s="221"/>
    </row>
    <row r="132" spans="5:14" x14ac:dyDescent="0.25">
      <c r="E132" s="221"/>
      <c r="F132" s="221"/>
      <c r="G132" s="221"/>
      <c r="H132" s="221"/>
      <c r="I132" s="221"/>
      <c r="J132" s="221"/>
      <c r="K132" s="221"/>
      <c r="L132" s="221"/>
      <c r="M132" s="221"/>
      <c r="N132" s="221"/>
    </row>
    <row r="133" spans="5:14" x14ac:dyDescent="0.25">
      <c r="E133" s="221"/>
      <c r="F133" s="221"/>
      <c r="G133" s="221"/>
      <c r="H133" s="221"/>
      <c r="I133" s="221"/>
      <c r="J133" s="221"/>
      <c r="K133" s="221"/>
      <c r="L133" s="221"/>
      <c r="M133" s="221"/>
      <c r="N133" s="221"/>
    </row>
    <row r="134" spans="5:14" x14ac:dyDescent="0.25">
      <c r="E134" s="221"/>
      <c r="F134" s="221"/>
      <c r="G134" s="221"/>
      <c r="H134" s="221"/>
      <c r="I134" s="221"/>
      <c r="J134" s="221"/>
      <c r="K134" s="221"/>
      <c r="L134" s="221"/>
      <c r="M134" s="221"/>
      <c r="N134" s="221"/>
    </row>
    <row r="135" spans="5:14" x14ac:dyDescent="0.25">
      <c r="E135" s="221"/>
      <c r="F135" s="221"/>
      <c r="G135" s="221"/>
      <c r="H135" s="221"/>
      <c r="I135" s="221"/>
      <c r="J135" s="221"/>
      <c r="K135" s="221"/>
      <c r="L135" s="221"/>
      <c r="M135" s="221"/>
      <c r="N135" s="221"/>
    </row>
    <row r="136" spans="5:14" x14ac:dyDescent="0.25">
      <c r="E136" s="221"/>
      <c r="F136" s="221"/>
      <c r="G136" s="221"/>
      <c r="H136" s="221"/>
      <c r="I136" s="221"/>
      <c r="J136" s="221"/>
      <c r="K136" s="221"/>
      <c r="L136" s="221"/>
      <c r="M136" s="221"/>
      <c r="N136" s="221"/>
    </row>
    <row r="137" spans="5:14" x14ac:dyDescent="0.25">
      <c r="E137" s="221"/>
      <c r="F137" s="221"/>
      <c r="G137" s="221"/>
      <c r="H137" s="221"/>
      <c r="I137" s="221"/>
      <c r="J137" s="221"/>
      <c r="K137" s="221"/>
      <c r="L137" s="221"/>
      <c r="M137" s="221"/>
      <c r="N137" s="221"/>
    </row>
    <row r="138" spans="5:14" x14ac:dyDescent="0.25">
      <c r="E138" s="221"/>
      <c r="F138" s="221"/>
      <c r="G138" s="221"/>
      <c r="H138" s="221"/>
      <c r="I138" s="221"/>
      <c r="J138" s="221"/>
      <c r="K138" s="221"/>
      <c r="L138" s="221"/>
      <c r="M138" s="221"/>
      <c r="N138" s="221"/>
    </row>
    <row r="139" spans="5:14" x14ac:dyDescent="0.25">
      <c r="E139" s="221"/>
      <c r="F139" s="221"/>
      <c r="G139" s="221"/>
      <c r="H139" s="221"/>
      <c r="I139" s="221"/>
      <c r="J139" s="221"/>
      <c r="K139" s="221"/>
      <c r="L139" s="221"/>
      <c r="M139" s="221"/>
      <c r="N139" s="221"/>
    </row>
    <row r="140" spans="5:14" x14ac:dyDescent="0.25">
      <c r="E140" s="221"/>
      <c r="F140" s="221"/>
      <c r="G140" s="221"/>
      <c r="H140" s="221"/>
      <c r="I140" s="221"/>
      <c r="J140" s="221"/>
      <c r="K140" s="221"/>
      <c r="L140" s="221"/>
      <c r="M140" s="221"/>
      <c r="N140" s="221"/>
    </row>
    <row r="141" spans="5:14" x14ac:dyDescent="0.25">
      <c r="E141" s="221"/>
      <c r="F141" s="221"/>
      <c r="G141" s="221"/>
      <c r="H141" s="221"/>
      <c r="I141" s="221"/>
      <c r="J141" s="221"/>
      <c r="K141" s="221"/>
      <c r="L141" s="221"/>
      <c r="M141" s="221"/>
      <c r="N141" s="221"/>
    </row>
    <row r="142" spans="5:14" x14ac:dyDescent="0.25">
      <c r="E142" s="221"/>
      <c r="F142" s="221"/>
      <c r="G142" s="221"/>
      <c r="H142" s="221"/>
      <c r="I142" s="221"/>
      <c r="J142" s="221"/>
      <c r="K142" s="221"/>
      <c r="L142" s="221"/>
      <c r="M142" s="221"/>
      <c r="N142" s="221"/>
    </row>
    <row r="143" spans="5:14" x14ac:dyDescent="0.25">
      <c r="E143" s="221"/>
      <c r="F143" s="221"/>
      <c r="G143" s="221"/>
      <c r="H143" s="221"/>
      <c r="I143" s="221"/>
      <c r="J143" s="221"/>
      <c r="K143" s="221"/>
      <c r="L143" s="221"/>
      <c r="M143" s="221"/>
      <c r="N143" s="221"/>
    </row>
    <row r="144" spans="5:14" x14ac:dyDescent="0.25">
      <c r="E144" s="221"/>
      <c r="F144" s="221"/>
      <c r="G144" s="221"/>
      <c r="H144" s="221"/>
      <c r="I144" s="221"/>
      <c r="J144" s="221"/>
      <c r="K144" s="221"/>
      <c r="L144" s="221"/>
      <c r="M144" s="221"/>
      <c r="N144" s="221"/>
    </row>
    <row r="145" spans="5:14" x14ac:dyDescent="0.25">
      <c r="E145" s="221"/>
      <c r="F145" s="221"/>
      <c r="G145" s="221"/>
      <c r="H145" s="221"/>
      <c r="I145" s="221"/>
      <c r="J145" s="221"/>
      <c r="K145" s="221"/>
      <c r="L145" s="221"/>
      <c r="M145" s="221"/>
      <c r="N145" s="221"/>
    </row>
    <row r="146" spans="5:14" x14ac:dyDescent="0.25">
      <c r="E146" s="221"/>
      <c r="F146" s="221"/>
      <c r="G146" s="221"/>
      <c r="H146" s="221"/>
      <c r="I146" s="221"/>
      <c r="J146" s="221"/>
      <c r="K146" s="221"/>
      <c r="L146" s="221"/>
      <c r="M146" s="221"/>
      <c r="N146" s="221"/>
    </row>
    <row r="147" spans="5:14" x14ac:dyDescent="0.25">
      <c r="E147" s="221"/>
      <c r="F147" s="221"/>
      <c r="G147" s="221"/>
      <c r="H147" s="221"/>
      <c r="I147" s="221"/>
      <c r="J147" s="221"/>
      <c r="K147" s="221"/>
      <c r="L147" s="221"/>
      <c r="M147" s="221"/>
      <c r="N147" s="221"/>
    </row>
    <row r="148" spans="5:14" x14ac:dyDescent="0.25">
      <c r="E148" s="221"/>
      <c r="F148" s="221"/>
      <c r="G148" s="221"/>
      <c r="H148" s="221"/>
      <c r="I148" s="221"/>
      <c r="J148" s="221"/>
      <c r="K148" s="221"/>
      <c r="L148" s="221"/>
      <c r="M148" s="221"/>
      <c r="N148" s="221"/>
    </row>
    <row r="149" spans="5:14" x14ac:dyDescent="0.25">
      <c r="E149" s="221"/>
      <c r="F149" s="221"/>
      <c r="G149" s="221"/>
      <c r="H149" s="221"/>
      <c r="I149" s="221"/>
      <c r="J149" s="221"/>
      <c r="K149" s="221"/>
      <c r="L149" s="221"/>
      <c r="M149" s="221"/>
      <c r="N149" s="221"/>
    </row>
    <row r="150" spans="5:14" x14ac:dyDescent="0.25">
      <c r="E150" s="221"/>
      <c r="F150" s="221"/>
      <c r="G150" s="221"/>
      <c r="H150" s="221"/>
      <c r="I150" s="221"/>
      <c r="J150" s="221"/>
      <c r="K150" s="221"/>
      <c r="L150" s="221"/>
      <c r="M150" s="221"/>
      <c r="N150" s="221"/>
    </row>
    <row r="151" spans="5:14" x14ac:dyDescent="0.25">
      <c r="E151" s="221"/>
      <c r="F151" s="221"/>
      <c r="G151" s="221"/>
      <c r="H151" s="221"/>
      <c r="I151" s="221"/>
      <c r="J151" s="221"/>
      <c r="K151" s="221"/>
      <c r="L151" s="221"/>
      <c r="M151" s="221"/>
      <c r="N151" s="221"/>
    </row>
    <row r="152" spans="5:14" x14ac:dyDescent="0.25">
      <c r="E152" s="221"/>
      <c r="F152" s="221"/>
      <c r="G152" s="221"/>
      <c r="H152" s="221"/>
      <c r="I152" s="221"/>
      <c r="J152" s="221"/>
      <c r="K152" s="221"/>
      <c r="L152" s="221"/>
      <c r="M152" s="221"/>
      <c r="N152" s="221"/>
    </row>
    <row r="153" spans="5:14" x14ac:dyDescent="0.25">
      <c r="E153" s="221"/>
      <c r="F153" s="221"/>
      <c r="G153" s="221"/>
      <c r="H153" s="221"/>
      <c r="I153" s="221"/>
      <c r="J153" s="221"/>
      <c r="K153" s="221"/>
      <c r="L153" s="221"/>
      <c r="M153" s="221"/>
      <c r="N153" s="221"/>
    </row>
    <row r="154" spans="5:14" x14ac:dyDescent="0.25">
      <c r="E154" s="221"/>
      <c r="F154" s="221"/>
      <c r="G154" s="221"/>
      <c r="H154" s="221"/>
      <c r="I154" s="221"/>
      <c r="J154" s="221"/>
      <c r="K154" s="221"/>
      <c r="L154" s="221"/>
      <c r="M154" s="221"/>
      <c r="N154" s="221"/>
    </row>
    <row r="155" spans="5:14" x14ac:dyDescent="0.25">
      <c r="E155" s="221"/>
      <c r="F155" s="221"/>
      <c r="G155" s="221"/>
      <c r="H155" s="221"/>
      <c r="I155" s="221"/>
      <c r="J155" s="221"/>
      <c r="K155" s="221"/>
      <c r="L155" s="221"/>
      <c r="M155" s="221"/>
      <c r="N155" s="221"/>
    </row>
    <row r="156" spans="5:14" x14ac:dyDescent="0.25">
      <c r="E156" s="221"/>
      <c r="F156" s="221"/>
      <c r="G156" s="221"/>
      <c r="H156" s="221"/>
      <c r="I156" s="221"/>
      <c r="J156" s="221"/>
      <c r="K156" s="221"/>
      <c r="L156" s="221"/>
      <c r="M156" s="221"/>
      <c r="N156" s="221"/>
    </row>
    <row r="157" spans="5:14" x14ac:dyDescent="0.25">
      <c r="E157" s="221"/>
      <c r="F157" s="221"/>
      <c r="G157" s="221"/>
      <c r="H157" s="221"/>
      <c r="I157" s="221"/>
      <c r="J157" s="221"/>
      <c r="K157" s="221"/>
      <c r="L157" s="221"/>
      <c r="M157" s="221"/>
      <c r="N157" s="221"/>
    </row>
    <row r="158" spans="5:14" x14ac:dyDescent="0.25">
      <c r="E158" s="221"/>
      <c r="F158" s="221"/>
      <c r="G158" s="221"/>
      <c r="H158" s="221"/>
      <c r="I158" s="221"/>
      <c r="J158" s="221"/>
      <c r="K158" s="221"/>
      <c r="L158" s="221"/>
      <c r="M158" s="221"/>
      <c r="N158" s="221"/>
    </row>
    <row r="159" spans="5:14" x14ac:dyDescent="0.25">
      <c r="E159" s="221"/>
      <c r="F159" s="221"/>
      <c r="G159" s="221"/>
      <c r="H159" s="221"/>
      <c r="I159" s="221"/>
      <c r="J159" s="221"/>
      <c r="K159" s="221"/>
      <c r="L159" s="221"/>
      <c r="M159" s="221"/>
      <c r="N159" s="221"/>
    </row>
    <row r="160" spans="5:14" x14ac:dyDescent="0.25">
      <c r="E160" s="221"/>
      <c r="F160" s="221"/>
      <c r="G160" s="221"/>
      <c r="H160" s="221"/>
      <c r="I160" s="221"/>
      <c r="J160" s="221"/>
      <c r="K160" s="221"/>
      <c r="L160" s="221"/>
      <c r="M160" s="221"/>
      <c r="N160" s="221"/>
    </row>
    <row r="161" spans="5:14" x14ac:dyDescent="0.25">
      <c r="E161" s="221"/>
      <c r="F161" s="221"/>
      <c r="G161" s="221"/>
      <c r="H161" s="221"/>
      <c r="I161" s="221"/>
      <c r="J161" s="221"/>
      <c r="K161" s="221"/>
      <c r="L161" s="221"/>
      <c r="M161" s="221"/>
      <c r="N161" s="221"/>
    </row>
    <row r="162" spans="5:14" x14ac:dyDescent="0.25">
      <c r="E162" s="221"/>
      <c r="F162" s="221"/>
      <c r="G162" s="221"/>
      <c r="H162" s="221"/>
      <c r="I162" s="221"/>
      <c r="J162" s="221"/>
      <c r="K162" s="221"/>
      <c r="L162" s="221"/>
      <c r="M162" s="221"/>
      <c r="N162" s="221"/>
    </row>
    <row r="163" spans="5:14" x14ac:dyDescent="0.25">
      <c r="E163" s="221"/>
      <c r="F163" s="221"/>
      <c r="G163" s="221"/>
      <c r="H163" s="221"/>
      <c r="I163" s="221"/>
      <c r="J163" s="221"/>
      <c r="K163" s="221"/>
      <c r="L163" s="221"/>
      <c r="M163" s="221"/>
      <c r="N163" s="221"/>
    </row>
    <row r="164" spans="5:14" x14ac:dyDescent="0.25">
      <c r="E164" s="221"/>
      <c r="F164" s="221"/>
      <c r="G164" s="221"/>
      <c r="H164" s="221"/>
      <c r="I164" s="221"/>
      <c r="J164" s="221"/>
      <c r="K164" s="221"/>
      <c r="L164" s="221"/>
      <c r="M164" s="221"/>
      <c r="N164" s="221"/>
    </row>
    <row r="165" spans="5:14" x14ac:dyDescent="0.25">
      <c r="E165" s="221"/>
      <c r="F165" s="221"/>
      <c r="G165" s="221"/>
      <c r="H165" s="221"/>
      <c r="I165" s="221"/>
      <c r="J165" s="221"/>
      <c r="K165" s="221"/>
      <c r="L165" s="221"/>
      <c r="M165" s="221"/>
      <c r="N165" s="221"/>
    </row>
    <row r="166" spans="5:14" x14ac:dyDescent="0.25">
      <c r="E166" s="221"/>
      <c r="F166" s="221"/>
      <c r="G166" s="221"/>
      <c r="H166" s="221"/>
      <c r="I166" s="221"/>
      <c r="J166" s="221"/>
      <c r="K166" s="221"/>
      <c r="L166" s="221"/>
      <c r="M166" s="221"/>
      <c r="N166" s="221"/>
    </row>
    <row r="167" spans="5:14" x14ac:dyDescent="0.25">
      <c r="E167" s="221"/>
      <c r="F167" s="221"/>
      <c r="G167" s="221"/>
      <c r="H167" s="221"/>
      <c r="I167" s="221"/>
      <c r="J167" s="221"/>
      <c r="K167" s="221"/>
      <c r="L167" s="221"/>
      <c r="M167" s="221"/>
      <c r="N167" s="221"/>
    </row>
    <row r="168" spans="5:14" x14ac:dyDescent="0.25">
      <c r="E168" s="221"/>
      <c r="F168" s="221"/>
      <c r="G168" s="221"/>
      <c r="H168" s="221"/>
      <c r="I168" s="221"/>
      <c r="J168" s="221"/>
      <c r="K168" s="221"/>
      <c r="L168" s="221"/>
      <c r="M168" s="221"/>
      <c r="N168" s="221"/>
    </row>
    <row r="169" spans="5:14" x14ac:dyDescent="0.25">
      <c r="E169" s="221"/>
      <c r="F169" s="221"/>
      <c r="G169" s="221"/>
      <c r="H169" s="221"/>
      <c r="I169" s="221"/>
      <c r="J169" s="221"/>
      <c r="K169" s="221"/>
      <c r="L169" s="221"/>
      <c r="M169" s="221"/>
      <c r="N169" s="221"/>
    </row>
    <row r="170" spans="5:14" x14ac:dyDescent="0.25">
      <c r="E170" s="221"/>
      <c r="F170" s="221"/>
      <c r="G170" s="221"/>
      <c r="H170" s="221"/>
      <c r="I170" s="221"/>
      <c r="J170" s="221"/>
      <c r="K170" s="221"/>
      <c r="L170" s="221"/>
      <c r="M170" s="221"/>
      <c r="N170" s="221"/>
    </row>
    <row r="171" spans="5:14" x14ac:dyDescent="0.25">
      <c r="E171" s="221"/>
      <c r="F171" s="221"/>
      <c r="G171" s="221"/>
      <c r="H171" s="221"/>
      <c r="I171" s="221"/>
      <c r="J171" s="221"/>
      <c r="K171" s="221"/>
      <c r="L171" s="221"/>
      <c r="M171" s="221"/>
      <c r="N171" s="221"/>
    </row>
    <row r="172" spans="5:14" x14ac:dyDescent="0.25">
      <c r="E172" s="221"/>
      <c r="F172" s="221"/>
      <c r="G172" s="221"/>
      <c r="H172" s="221"/>
      <c r="I172" s="221"/>
      <c r="J172" s="221"/>
      <c r="K172" s="221"/>
      <c r="L172" s="221"/>
      <c r="M172" s="221"/>
      <c r="N172" s="221"/>
    </row>
    <row r="173" spans="5:14" x14ac:dyDescent="0.25">
      <c r="E173" s="221"/>
      <c r="F173" s="221"/>
      <c r="G173" s="221"/>
      <c r="H173" s="221"/>
      <c r="I173" s="221"/>
      <c r="J173" s="221"/>
      <c r="K173" s="221"/>
      <c r="L173" s="221"/>
      <c r="M173" s="221"/>
      <c r="N173" s="221"/>
    </row>
    <row r="174" spans="5:14" x14ac:dyDescent="0.25">
      <c r="E174" s="221"/>
      <c r="F174" s="221"/>
      <c r="G174" s="221"/>
      <c r="H174" s="221"/>
      <c r="I174" s="221"/>
      <c r="J174" s="221"/>
      <c r="K174" s="221"/>
      <c r="L174" s="221"/>
      <c r="M174" s="221"/>
      <c r="N174" s="221"/>
    </row>
    <row r="175" spans="5:14" x14ac:dyDescent="0.25">
      <c r="E175" s="221"/>
      <c r="F175" s="221"/>
      <c r="G175" s="221"/>
      <c r="H175" s="221"/>
      <c r="I175" s="221"/>
      <c r="J175" s="221"/>
      <c r="K175" s="221"/>
      <c r="L175" s="221"/>
      <c r="M175" s="221"/>
      <c r="N175" s="221"/>
    </row>
    <row r="176" spans="5:14" x14ac:dyDescent="0.25">
      <c r="E176" s="221"/>
      <c r="F176" s="221"/>
      <c r="G176" s="221"/>
      <c r="H176" s="221"/>
      <c r="I176" s="221"/>
      <c r="J176" s="221"/>
      <c r="K176" s="221"/>
      <c r="L176" s="221"/>
      <c r="M176" s="221"/>
      <c r="N176" s="221"/>
    </row>
    <row r="177" spans="5:14" x14ac:dyDescent="0.25">
      <c r="E177" s="221"/>
      <c r="F177" s="221"/>
      <c r="G177" s="221"/>
      <c r="H177" s="221"/>
      <c r="I177" s="221"/>
      <c r="J177" s="221"/>
      <c r="K177" s="221"/>
      <c r="L177" s="221"/>
      <c r="M177" s="221"/>
      <c r="N177" s="221"/>
    </row>
    <row r="178" spans="5:14" x14ac:dyDescent="0.25">
      <c r="E178" s="221"/>
      <c r="F178" s="221"/>
      <c r="G178" s="221"/>
      <c r="H178" s="221"/>
      <c r="I178" s="221"/>
      <c r="J178" s="221"/>
      <c r="K178" s="221"/>
      <c r="L178" s="221"/>
      <c r="M178" s="221"/>
      <c r="N178" s="221"/>
    </row>
    <row r="179" spans="5:14" x14ac:dyDescent="0.25">
      <c r="E179" s="221"/>
      <c r="F179" s="221"/>
      <c r="G179" s="221"/>
      <c r="H179" s="221"/>
      <c r="I179" s="221"/>
      <c r="J179" s="221"/>
      <c r="K179" s="221"/>
      <c r="L179" s="221"/>
      <c r="M179" s="221"/>
      <c r="N179" s="221"/>
    </row>
    <row r="180" spans="5:14" x14ac:dyDescent="0.25">
      <c r="E180" s="221"/>
      <c r="F180" s="221"/>
      <c r="G180" s="221"/>
      <c r="H180" s="221"/>
      <c r="I180" s="221"/>
      <c r="J180" s="221"/>
      <c r="K180" s="221"/>
      <c r="L180" s="221"/>
      <c r="M180" s="221"/>
      <c r="N180" s="221"/>
    </row>
    <row r="181" spans="5:14" x14ac:dyDescent="0.25">
      <c r="E181" s="221"/>
      <c r="F181" s="221"/>
      <c r="G181" s="221"/>
      <c r="H181" s="221"/>
      <c r="I181" s="221"/>
      <c r="J181" s="221"/>
      <c r="K181" s="221"/>
      <c r="L181" s="221"/>
      <c r="M181" s="221"/>
      <c r="N181" s="221"/>
    </row>
    <row r="182" spans="5:14" x14ac:dyDescent="0.25">
      <c r="E182" s="221"/>
      <c r="F182" s="221"/>
      <c r="G182" s="221"/>
      <c r="H182" s="221"/>
      <c r="I182" s="221"/>
      <c r="J182" s="221"/>
      <c r="K182" s="221"/>
      <c r="L182" s="221"/>
      <c r="M182" s="221"/>
      <c r="N182" s="221"/>
    </row>
    <row r="183" spans="5:14" x14ac:dyDescent="0.25">
      <c r="E183" s="221"/>
      <c r="F183" s="221"/>
      <c r="G183" s="221"/>
      <c r="H183" s="221"/>
      <c r="I183" s="221"/>
      <c r="J183" s="221"/>
      <c r="K183" s="221"/>
      <c r="L183" s="221"/>
      <c r="M183" s="221"/>
      <c r="N183" s="221"/>
    </row>
    <row r="184" spans="5:14" x14ac:dyDescent="0.25">
      <c r="E184" s="221"/>
      <c r="F184" s="221"/>
      <c r="G184" s="221"/>
      <c r="H184" s="221"/>
      <c r="I184" s="221"/>
      <c r="J184" s="221"/>
      <c r="K184" s="221"/>
      <c r="L184" s="221"/>
      <c r="M184" s="221"/>
      <c r="N184" s="221"/>
    </row>
    <row r="185" spans="5:14" x14ac:dyDescent="0.25">
      <c r="E185" s="221"/>
      <c r="F185" s="221"/>
      <c r="G185" s="221"/>
      <c r="H185" s="221"/>
      <c r="I185" s="221"/>
      <c r="J185" s="221"/>
      <c r="K185" s="221"/>
      <c r="L185" s="221"/>
      <c r="M185" s="221"/>
      <c r="N185" s="221"/>
    </row>
    <row r="186" spans="5:14" x14ac:dyDescent="0.25">
      <c r="E186" s="221"/>
      <c r="F186" s="221"/>
      <c r="G186" s="221"/>
      <c r="H186" s="221"/>
      <c r="I186" s="221"/>
      <c r="J186" s="221"/>
      <c r="K186" s="221"/>
      <c r="L186" s="221"/>
      <c r="M186" s="221"/>
      <c r="N186" s="221"/>
    </row>
    <row r="187" spans="5:14" x14ac:dyDescent="0.25">
      <c r="E187" s="221"/>
      <c r="F187" s="221"/>
      <c r="G187" s="221"/>
      <c r="H187" s="221"/>
      <c r="I187" s="221"/>
      <c r="J187" s="221"/>
      <c r="K187" s="221"/>
      <c r="L187" s="221"/>
      <c r="M187" s="221"/>
      <c r="N187" s="221"/>
    </row>
    <row r="188" spans="5:14" x14ac:dyDescent="0.25">
      <c r="E188" s="221"/>
      <c r="F188" s="221"/>
      <c r="G188" s="221"/>
      <c r="H188" s="221"/>
      <c r="I188" s="221"/>
      <c r="J188" s="221"/>
      <c r="K188" s="221"/>
      <c r="L188" s="221"/>
      <c r="M188" s="221"/>
      <c r="N188" s="221"/>
    </row>
    <row r="189" spans="5:14" x14ac:dyDescent="0.25">
      <c r="E189" s="221"/>
      <c r="F189" s="221"/>
      <c r="G189" s="221"/>
      <c r="H189" s="221"/>
      <c r="I189" s="221"/>
      <c r="J189" s="221"/>
      <c r="K189" s="221"/>
      <c r="L189" s="221"/>
      <c r="M189" s="221"/>
      <c r="N189" s="221"/>
    </row>
    <row r="190" spans="5:14" x14ac:dyDescent="0.25">
      <c r="E190" s="221"/>
      <c r="F190" s="221"/>
      <c r="G190" s="221"/>
      <c r="H190" s="221"/>
      <c r="I190" s="221"/>
      <c r="J190" s="221"/>
      <c r="K190" s="221"/>
      <c r="L190" s="221"/>
      <c r="M190" s="221"/>
      <c r="N190" s="221"/>
    </row>
    <row r="191" spans="5:14" x14ac:dyDescent="0.25">
      <c r="E191" s="221"/>
      <c r="F191" s="221"/>
      <c r="G191" s="221"/>
      <c r="H191" s="221"/>
      <c r="I191" s="221"/>
      <c r="J191" s="221"/>
      <c r="K191" s="221"/>
      <c r="L191" s="221"/>
      <c r="M191" s="221"/>
      <c r="N191" s="22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Overview</vt:lpstr>
      <vt:lpstr>Data &amp; Assumptions</vt:lpstr>
      <vt:lpstr>Revenue Schedule</vt:lpstr>
      <vt:lpstr>Asset Schedule</vt:lpstr>
      <vt:lpstr>Debt Schedule</vt:lpstr>
      <vt:lpstr>Equity Schedule</vt:lpstr>
      <vt:lpstr>P&amp;L</vt:lpstr>
      <vt:lpstr>BS</vt:lpstr>
      <vt:lpstr>CF</vt:lpstr>
      <vt:lpstr>NOI &amp; NDCF</vt:lpstr>
      <vt:lpstr>Valuation</vt:lpstr>
      <vt:lpstr>gross_int_exp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Shashwat Kakkar</dc:creator>
  <cp:lastModifiedBy>Shashwat Kakkar</cp:lastModifiedBy>
  <dcterms:created xsi:type="dcterms:W3CDTF">2026-03-20T08:05:46Z</dcterms:created>
  <dcterms:modified xsi:type="dcterms:W3CDTF">2026-04-22T10:11:21Z</dcterms:modified>
</cp:coreProperties>
</file>